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_sokol\Desktop\Временная\Бюджет\"/>
    </mc:Choice>
  </mc:AlternateContent>
  <bookViews>
    <workbookView xWindow="0" yWindow="0" windowWidth="28800" windowHeight="10935"/>
  </bookViews>
  <sheets>
    <sheet name="на 1.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Print_Titles" localSheetId="0">'на 1.10'!$5:$7</definedName>
    <definedName name="_xlnm.Print_Area" localSheetId="0">'на 1.10'!$A$1:$IE$429</definedName>
  </definedNames>
  <calcPr calcId="152511"/>
</workbook>
</file>

<file path=xl/calcChain.xml><?xml version="1.0" encoding="utf-8"?>
<calcChain xmlns="http://schemas.openxmlformats.org/spreadsheetml/2006/main">
  <c r="GK330" i="1" l="1"/>
  <c r="FU304" i="1" l="1"/>
  <c r="FS42" i="1" l="1"/>
  <c r="FS41" i="1"/>
  <c r="FW343" i="1"/>
  <c r="FW344" i="1"/>
  <c r="FW342" i="1"/>
  <c r="FW340" i="1"/>
  <c r="FW339" i="1"/>
  <c r="FW333" i="1"/>
  <c r="GM345" i="1"/>
  <c r="GI345" i="1" s="1"/>
  <c r="GM344" i="1"/>
  <c r="GM343" i="1"/>
  <c r="GM342" i="1"/>
  <c r="GM340" i="1"/>
  <c r="GM339" i="1"/>
  <c r="GM333" i="1"/>
  <c r="GM332" i="1" s="1"/>
  <c r="GK326" i="1"/>
  <c r="GK317" i="1"/>
  <c r="GI318" i="1"/>
  <c r="GM270" i="1"/>
  <c r="FW270" i="1"/>
  <c r="GN345" i="1" l="1"/>
  <c r="FW332" i="1"/>
  <c r="GK66" i="1" l="1"/>
  <c r="FU66" i="1"/>
  <c r="FU65" i="1" s="1"/>
  <c r="FX336" i="1"/>
  <c r="FX337" i="1"/>
  <c r="FX338" i="1"/>
  <c r="FX339" i="1"/>
  <c r="FX340" i="1"/>
  <c r="FX341" i="1"/>
  <c r="FX342" i="1"/>
  <c r="FX343" i="1"/>
  <c r="FX344" i="1"/>
  <c r="FX345" i="1"/>
  <c r="FX347" i="1"/>
  <c r="FV296" i="1"/>
  <c r="FV297" i="1"/>
  <c r="FV299" i="1"/>
  <c r="FV300" i="1"/>
  <c r="FV302" i="1"/>
  <c r="FV305" i="1"/>
  <c r="FV306" i="1"/>
  <c r="FV307" i="1"/>
  <c r="FV309" i="1"/>
  <c r="FV314" i="1"/>
  <c r="FV315" i="1"/>
  <c r="FV316" i="1"/>
  <c r="FV320" i="1"/>
  <c r="FV321" i="1"/>
  <c r="FV322" i="1"/>
  <c r="FV324" i="1"/>
  <c r="FV325" i="1"/>
  <c r="FV327" i="1"/>
  <c r="FV329" i="1"/>
  <c r="FV331" i="1"/>
  <c r="FV350" i="1"/>
  <c r="FV351" i="1"/>
  <c r="FT307" i="1"/>
  <c r="FT322" i="1"/>
  <c r="GP271" i="1"/>
  <c r="GP272" i="1"/>
  <c r="GP274" i="1"/>
  <c r="GP275" i="1"/>
  <c r="GP264" i="1"/>
  <c r="GP265" i="1"/>
  <c r="GP266" i="1"/>
  <c r="GP267" i="1"/>
  <c r="GP254" i="1"/>
  <c r="GN270" i="1"/>
  <c r="GN271" i="1"/>
  <c r="GN272" i="1"/>
  <c r="GL222" i="1"/>
  <c r="GL226" i="1"/>
  <c r="GL227" i="1"/>
  <c r="GL229" i="1"/>
  <c r="GL230" i="1"/>
  <c r="GL233" i="1"/>
  <c r="GL234" i="1"/>
  <c r="GL235" i="1"/>
  <c r="GL238" i="1"/>
  <c r="GL239" i="1"/>
  <c r="GL240" i="1"/>
  <c r="GL241" i="1"/>
  <c r="GL242" i="1"/>
  <c r="GL243" i="1"/>
  <c r="GL248" i="1"/>
  <c r="GL250" i="1"/>
  <c r="GL251" i="1"/>
  <c r="GL252" i="1"/>
  <c r="GL257" i="1"/>
  <c r="GL258" i="1"/>
  <c r="GL259" i="1"/>
  <c r="GL260" i="1"/>
  <c r="GL261" i="1"/>
  <c r="GL262" i="1"/>
  <c r="GL265" i="1"/>
  <c r="GL266" i="1"/>
  <c r="GL268" i="1"/>
  <c r="GL270" i="1"/>
  <c r="GL271" i="1"/>
  <c r="GL272" i="1"/>
  <c r="GL273" i="1"/>
  <c r="GL275" i="1"/>
  <c r="GL276" i="1"/>
  <c r="GL278" i="1"/>
  <c r="GL280" i="1"/>
  <c r="GL281" i="1"/>
  <c r="GL282" i="1"/>
  <c r="GL283" i="1"/>
  <c r="GL284" i="1"/>
  <c r="GJ230" i="1"/>
  <c r="GJ235" i="1"/>
  <c r="GJ252" i="1"/>
  <c r="GJ259" i="1"/>
  <c r="GJ260" i="1"/>
  <c r="GJ261" i="1"/>
  <c r="GJ262" i="1"/>
  <c r="GJ265" i="1"/>
  <c r="GJ266" i="1"/>
  <c r="GJ268" i="1"/>
  <c r="GJ278" i="1"/>
  <c r="FZ265" i="1"/>
  <c r="FZ266" i="1"/>
  <c r="FZ268" i="1"/>
  <c r="FX270" i="1"/>
  <c r="FT231" i="1"/>
  <c r="FT232" i="1"/>
  <c r="FT233" i="1"/>
  <c r="FT234" i="1"/>
  <c r="FT235" i="1"/>
  <c r="FT252" i="1"/>
  <c r="FT259" i="1"/>
  <c r="FT260" i="1"/>
  <c r="FT261" i="1"/>
  <c r="FT262" i="1"/>
  <c r="FT265" i="1"/>
  <c r="FT266" i="1"/>
  <c r="FT268" i="1"/>
  <c r="FT278" i="1"/>
  <c r="FV220" i="1"/>
  <c r="FV222" i="1"/>
  <c r="FV226" i="1"/>
  <c r="FV227" i="1"/>
  <c r="FV229" i="1"/>
  <c r="FV230" i="1"/>
  <c r="FV231" i="1"/>
  <c r="FV232" i="1"/>
  <c r="FV233" i="1"/>
  <c r="FV234" i="1"/>
  <c r="FV235" i="1"/>
  <c r="FV238" i="1"/>
  <c r="FV239" i="1"/>
  <c r="FV240" i="1"/>
  <c r="FV241" i="1"/>
  <c r="FV242" i="1"/>
  <c r="FV243" i="1"/>
  <c r="FV248" i="1"/>
  <c r="FV250" i="1"/>
  <c r="FV251" i="1"/>
  <c r="FV252" i="1"/>
  <c r="FV257" i="1"/>
  <c r="FV258" i="1"/>
  <c r="FV259" i="1"/>
  <c r="FV260" i="1"/>
  <c r="FV261" i="1"/>
  <c r="FV262" i="1"/>
  <c r="FV265" i="1"/>
  <c r="FV266" i="1"/>
  <c r="FV268" i="1"/>
  <c r="FV270" i="1"/>
  <c r="FV271" i="1"/>
  <c r="FV272" i="1"/>
  <c r="FV273" i="1"/>
  <c r="FV275" i="1"/>
  <c r="FV276" i="1"/>
  <c r="FV278" i="1"/>
  <c r="FV280" i="1"/>
  <c r="FV281" i="1"/>
  <c r="FV282" i="1"/>
  <c r="FV283" i="1"/>
  <c r="FV284" i="1"/>
  <c r="GO214" i="1"/>
  <c r="GC219" i="1"/>
  <c r="GK65" i="1" l="1"/>
  <c r="GK311" i="1"/>
  <c r="GK312" i="1"/>
  <c r="GK246" i="1"/>
  <c r="GI241" i="1"/>
  <c r="GI240" i="1"/>
  <c r="GK287" i="1" l="1"/>
  <c r="FU108" i="1"/>
  <c r="FS108" i="1" s="1"/>
  <c r="FU38" i="1"/>
  <c r="GC218" i="1"/>
  <c r="GO246" i="1"/>
  <c r="GK215" i="1"/>
  <c r="FU34" i="1" l="1"/>
  <c r="GO244" i="1"/>
  <c r="GK379" i="1"/>
  <c r="GK350" i="1"/>
  <c r="GL329" i="1" l="1"/>
  <c r="GL331" i="1"/>
  <c r="GI330" i="1"/>
  <c r="GI331" i="1"/>
  <c r="GL327" i="1"/>
  <c r="FS316" i="1"/>
  <c r="GC308" i="1"/>
  <c r="GD307" i="1"/>
  <c r="GD309" i="1"/>
  <c r="GB307" i="1"/>
  <c r="GA309" i="1"/>
  <c r="FC337" i="1"/>
  <c r="FT337" i="1" s="1"/>
  <c r="FD303" i="1"/>
  <c r="FV303" i="1" s="1"/>
  <c r="FD318" i="1"/>
  <c r="GL318" i="1" s="1"/>
  <c r="FD317" i="1" l="1"/>
  <c r="GL317" i="1" s="1"/>
  <c r="FV318" i="1"/>
  <c r="FD311" i="1"/>
  <c r="GA308" i="1"/>
  <c r="FC318" i="1"/>
  <c r="FY376" i="1"/>
  <c r="FY375" i="1"/>
  <c r="FT318" i="1" l="1"/>
  <c r="GJ318" i="1"/>
  <c r="FC317" i="1"/>
  <c r="FT317" i="1" s="1"/>
  <c r="FV317" i="1"/>
  <c r="FU269" i="1"/>
  <c r="FU246" i="1"/>
  <c r="FU288" i="1"/>
  <c r="FU215" i="1"/>
  <c r="GI251" i="1"/>
  <c r="FU249" i="1"/>
  <c r="FS251" i="1"/>
  <c r="FY267" i="1"/>
  <c r="FZ267" i="1" s="1"/>
  <c r="FY264" i="1"/>
  <c r="FZ264" i="1" s="1"/>
  <c r="FU221" i="1"/>
  <c r="FU218" i="1"/>
  <c r="FY155" i="1"/>
  <c r="FY139" i="1"/>
  <c r="GK37" i="1"/>
  <c r="GK122" i="1"/>
  <c r="FU122" i="1"/>
  <c r="FS128" i="1"/>
  <c r="FU124" i="1"/>
  <c r="GI103" i="1"/>
  <c r="GI102" i="1"/>
  <c r="GL102" i="1"/>
  <c r="GL103" i="1"/>
  <c r="GK101" i="1"/>
  <c r="GI101" i="1" s="1"/>
  <c r="FU101" i="1"/>
  <c r="FU100" i="1" s="1"/>
  <c r="FV103" i="1"/>
  <c r="FS103" i="1"/>
  <c r="FV102" i="1"/>
  <c r="FS102" i="1"/>
  <c r="FS101" i="1"/>
  <c r="FS100" i="1" s="1"/>
  <c r="FU92" i="1"/>
  <c r="FU91" i="1" s="1"/>
  <c r="FV93" i="1"/>
  <c r="FV94" i="1"/>
  <c r="FV95" i="1"/>
  <c r="FS93" i="1"/>
  <c r="FS94" i="1"/>
  <c r="FS95" i="1"/>
  <c r="FU64" i="1"/>
  <c r="FU48" i="1"/>
  <c r="FU37" i="1" s="1"/>
  <c r="FU40" i="1"/>
  <c r="FS43" i="1"/>
  <c r="FV43" i="1"/>
  <c r="FU45" i="1"/>
  <c r="FU44" i="1" s="1"/>
  <c r="FU287" i="1" l="1"/>
  <c r="FU247" i="1"/>
  <c r="FS40" i="1"/>
  <c r="FU219" i="1"/>
  <c r="FS247" i="1"/>
  <c r="GK100" i="1"/>
  <c r="GG138" i="1"/>
  <c r="GD240" i="1"/>
  <c r="GD241" i="1"/>
  <c r="GA240" i="1"/>
  <c r="GA241" i="1"/>
  <c r="GA42" i="1"/>
  <c r="GA43" i="1"/>
  <c r="GA41" i="1"/>
  <c r="GC40" i="1"/>
  <c r="GD43" i="1"/>
  <c r="GA40" i="1" l="1"/>
  <c r="GI100" i="1"/>
  <c r="GC248" i="1"/>
  <c r="GC124" i="1"/>
  <c r="GA380" i="1" l="1"/>
  <c r="GA381" i="1"/>
  <c r="GA382" i="1"/>
  <c r="GA383" i="1"/>
  <c r="GF345" i="1" l="1"/>
  <c r="GA345" i="1"/>
  <c r="GE332" i="1"/>
  <c r="FC345" i="1"/>
  <c r="GG269" i="1"/>
  <c r="GE269" i="1"/>
  <c r="GC269" i="1"/>
  <c r="GC312" i="1"/>
  <c r="GC311" i="1"/>
  <c r="GC294" i="1"/>
  <c r="GC293" i="1"/>
  <c r="FC331" i="1"/>
  <c r="FD330" i="1"/>
  <c r="EW330" i="1"/>
  <c r="ES330" i="1"/>
  <c r="EG330" i="1"/>
  <c r="EE330" i="1"/>
  <c r="ED330" i="1" s="1"/>
  <c r="DU330" i="1"/>
  <c r="DO330" i="1"/>
  <c r="DL330" i="1"/>
  <c r="DJ330" i="1"/>
  <c r="DI330" i="1" s="1"/>
  <c r="CW330" i="1"/>
  <c r="FT345" i="1" l="1"/>
  <c r="GJ345" i="1"/>
  <c r="FT331" i="1"/>
  <c r="GJ331" i="1"/>
  <c r="FA330" i="1"/>
  <c r="EZ330" i="1" s="1"/>
  <c r="FV330" i="1"/>
  <c r="GL330" i="1"/>
  <c r="GB345" i="1"/>
  <c r="FC330" i="1"/>
  <c r="DS330" i="1"/>
  <c r="DR330" i="1" s="1"/>
  <c r="DG330" i="1"/>
  <c r="DF330" i="1" s="1"/>
  <c r="GD251" i="1"/>
  <c r="GC246" i="1"/>
  <c r="GC287" i="1" s="1"/>
  <c r="GA251" i="1"/>
  <c r="FD237" i="1"/>
  <c r="FC240" i="1"/>
  <c r="FC241" i="1"/>
  <c r="FT330" i="1" l="1"/>
  <c r="GJ330" i="1"/>
  <c r="GB241" i="1"/>
  <c r="FT241" i="1"/>
  <c r="GJ241" i="1"/>
  <c r="GB240" i="1"/>
  <c r="FT240" i="1"/>
  <c r="GJ240" i="1"/>
  <c r="GC67" i="1"/>
  <c r="GC66" i="1" s="1"/>
  <c r="GG387" i="1" l="1"/>
  <c r="GH390" i="1"/>
  <c r="GA390" i="1"/>
  <c r="FC390" i="1"/>
  <c r="FE387" i="1"/>
  <c r="FF387" i="1"/>
  <c r="GH387" i="1" s="1"/>
  <c r="GA316" i="1"/>
  <c r="GD316" i="1"/>
  <c r="GG287" i="1"/>
  <c r="GO387" i="1" l="1"/>
  <c r="GP387" i="1" s="1"/>
  <c r="FY387" i="1"/>
  <c r="FZ387" i="1" s="1"/>
  <c r="FE246" i="1"/>
  <c r="FF246" i="1"/>
  <c r="GP246" i="1" s="1"/>
  <c r="GG246" i="1"/>
  <c r="GG245" i="1"/>
  <c r="GE246" i="1"/>
  <c r="GE245" i="1"/>
  <c r="FI246" i="1"/>
  <c r="FL246" i="1"/>
  <c r="FM246" i="1"/>
  <c r="FN246" i="1"/>
  <c r="FP246" i="1"/>
  <c r="FQ246" i="1"/>
  <c r="FR246" i="1"/>
  <c r="FW246" i="1"/>
  <c r="FX246" i="1"/>
  <c r="FY246" i="1"/>
  <c r="FZ246" i="1"/>
  <c r="FE245" i="1"/>
  <c r="FF245" i="1"/>
  <c r="ID246" i="1"/>
  <c r="IC246" i="1"/>
  <c r="HZ246" i="1"/>
  <c r="HY246" i="1"/>
  <c r="HX246" i="1"/>
  <c r="HV246" i="1"/>
  <c r="HU246" i="1"/>
  <c r="HR246" i="1"/>
  <c r="HQ246" i="1"/>
  <c r="HJ246" i="1"/>
  <c r="HI246" i="1"/>
  <c r="HH246" i="1"/>
  <c r="GX246" i="1"/>
  <c r="GW246" i="1"/>
  <c r="GM246" i="1"/>
  <c r="EV246" i="1"/>
  <c r="EU246" i="1"/>
  <c r="EN246" i="1"/>
  <c r="EM246" i="1"/>
  <c r="EJ246" i="1"/>
  <c r="EI246" i="1"/>
  <c r="HG245" i="1"/>
  <c r="IA258" i="1"/>
  <c r="HX258" i="1"/>
  <c r="HW258" i="1" s="1"/>
  <c r="HS258" i="1"/>
  <c r="HO258" i="1"/>
  <c r="HH258" i="1"/>
  <c r="HG258" i="1" s="1"/>
  <c r="GU258" i="1"/>
  <c r="GI258" i="1"/>
  <c r="GD258" i="1"/>
  <c r="GA258" i="1"/>
  <c r="FS258" i="1"/>
  <c r="FO258" i="1"/>
  <c r="FH258" i="1"/>
  <c r="FG258" i="1" s="1"/>
  <c r="FC258" i="1"/>
  <c r="IB257" i="1"/>
  <c r="IA257" i="1"/>
  <c r="HX257" i="1"/>
  <c r="HW257" i="1" s="1"/>
  <c r="HS257" i="1"/>
  <c r="HO257" i="1"/>
  <c r="HH257" i="1"/>
  <c r="HG257" i="1" s="1"/>
  <c r="GU257" i="1"/>
  <c r="GI257" i="1"/>
  <c r="GD257" i="1"/>
  <c r="GA257" i="1"/>
  <c r="FS257" i="1"/>
  <c r="FO257" i="1"/>
  <c r="FH257" i="1"/>
  <c r="FG257" i="1" s="1"/>
  <c r="FC257" i="1"/>
  <c r="IB256" i="1"/>
  <c r="IA256" i="1" s="1"/>
  <c r="HT256" i="1"/>
  <c r="HS256" i="1" s="1"/>
  <c r="HP256" i="1"/>
  <c r="HO256" i="1" s="1"/>
  <c r="GV256" i="1"/>
  <c r="GU256" i="1" s="1"/>
  <c r="GK256" i="1"/>
  <c r="GC256" i="1"/>
  <c r="GA256" i="1" s="1"/>
  <c r="FU256" i="1"/>
  <c r="FP256" i="1"/>
  <c r="FO256" i="1" s="1"/>
  <c r="FD256" i="1"/>
  <c r="FC256" i="1" s="1"/>
  <c r="HP255" i="1"/>
  <c r="HO255" i="1" s="1"/>
  <c r="GC215" i="1"/>
  <c r="FD215" i="1"/>
  <c r="ID215" i="1"/>
  <c r="IC215" i="1"/>
  <c r="IB215" i="1"/>
  <c r="HZ215" i="1"/>
  <c r="HY215" i="1"/>
  <c r="HX215" i="1"/>
  <c r="HV215" i="1"/>
  <c r="HU215" i="1"/>
  <c r="HT215" i="1"/>
  <c r="HR215" i="1"/>
  <c r="HQ215" i="1"/>
  <c r="HP215" i="1"/>
  <c r="HJ215" i="1"/>
  <c r="HI215" i="1"/>
  <c r="HH215" i="1"/>
  <c r="GX215" i="1"/>
  <c r="GW215" i="1"/>
  <c r="GU215" i="1" s="1"/>
  <c r="GV215" i="1"/>
  <c r="GO215" i="1"/>
  <c r="GM215" i="1"/>
  <c r="FY215" i="1"/>
  <c r="FW215" i="1"/>
  <c r="FR215" i="1"/>
  <c r="FQ215" i="1"/>
  <c r="FP215" i="1"/>
  <c r="FJ215" i="1"/>
  <c r="FI215" i="1"/>
  <c r="FH215" i="1"/>
  <c r="FF215" i="1"/>
  <c r="FE215" i="1"/>
  <c r="EV215" i="1"/>
  <c r="EU215" i="1"/>
  <c r="ET215" i="1"/>
  <c r="EN215" i="1"/>
  <c r="EM215" i="1"/>
  <c r="EL215" i="1"/>
  <c r="EK215" i="1" s="1"/>
  <c r="EJ215" i="1"/>
  <c r="EI215" i="1"/>
  <c r="EH215" i="1"/>
  <c r="IC214" i="1"/>
  <c r="HY214" i="1"/>
  <c r="HX214" i="1"/>
  <c r="HU214" i="1"/>
  <c r="HQ214" i="1"/>
  <c r="HM214" i="1"/>
  <c r="HL214" i="1"/>
  <c r="HI214" i="1"/>
  <c r="GX214" i="1"/>
  <c r="GW214" i="1"/>
  <c r="FQ214" i="1"/>
  <c r="FJ214" i="1"/>
  <c r="FI214" i="1"/>
  <c r="EU214" i="1"/>
  <c r="EN214" i="1"/>
  <c r="EM214" i="1"/>
  <c r="EJ214" i="1"/>
  <c r="EI214" i="1"/>
  <c r="GC237" i="1"/>
  <c r="GC236" i="1" s="1"/>
  <c r="ID243" i="1"/>
  <c r="IC243" i="1"/>
  <c r="HZ243" i="1"/>
  <c r="HY243" i="1"/>
  <c r="HX243" i="1"/>
  <c r="HV243" i="1"/>
  <c r="HU243" i="1"/>
  <c r="HT243" i="1"/>
  <c r="HR243" i="1"/>
  <c r="HQ243" i="1"/>
  <c r="HJ243" i="1"/>
  <c r="HI243" i="1"/>
  <c r="HH243" i="1"/>
  <c r="GX243" i="1"/>
  <c r="GW243" i="1"/>
  <c r="GG243" i="1"/>
  <c r="GE243" i="1"/>
  <c r="GD243" i="1"/>
  <c r="FY243" i="1"/>
  <c r="FW243" i="1"/>
  <c r="FR243" i="1"/>
  <c r="FQ243" i="1"/>
  <c r="FJ243" i="1"/>
  <c r="FI243" i="1"/>
  <c r="FF243" i="1"/>
  <c r="FF287" i="1" s="1"/>
  <c r="FE243" i="1"/>
  <c r="EV243" i="1"/>
  <c r="EU243" i="1"/>
  <c r="ET243" i="1"/>
  <c r="EN243" i="1"/>
  <c r="EM243" i="1"/>
  <c r="EL243" i="1"/>
  <c r="EJ243" i="1"/>
  <c r="EI243" i="1"/>
  <c r="EH243" i="1"/>
  <c r="FD236" i="1"/>
  <c r="HG237" i="1"/>
  <c r="GK237" i="1"/>
  <c r="GL237" i="1" s="1"/>
  <c r="FU237" i="1"/>
  <c r="ET237" i="1"/>
  <c r="ES237" i="1" s="1"/>
  <c r="GC37" i="1"/>
  <c r="FD37" i="1"/>
  <c r="GC65" i="1"/>
  <c r="FD66" i="1"/>
  <c r="IB66" i="1"/>
  <c r="IB246" i="1" s="1"/>
  <c r="HT66" i="1"/>
  <c r="HT246" i="1" s="1"/>
  <c r="HG66" i="1"/>
  <c r="GV66" i="1"/>
  <c r="GU66" i="1" s="1"/>
  <c r="FS66" i="1"/>
  <c r="ET66" i="1"/>
  <c r="ET246" i="1" s="1"/>
  <c r="EL66" i="1"/>
  <c r="EK66" i="1" s="1"/>
  <c r="EH66" i="1"/>
  <c r="EH246" i="1" s="1"/>
  <c r="IA69" i="1"/>
  <c r="HX69" i="1"/>
  <c r="HW69" i="1" s="1"/>
  <c r="HS69" i="1"/>
  <c r="HO69" i="1"/>
  <c r="HG69" i="1"/>
  <c r="GU69" i="1"/>
  <c r="GL69" i="1"/>
  <c r="GI69" i="1"/>
  <c r="GD69" i="1"/>
  <c r="GA69" i="1"/>
  <c r="FV69" i="1"/>
  <c r="FS69" i="1"/>
  <c r="FO69" i="1"/>
  <c r="FH69" i="1"/>
  <c r="FG69" i="1" s="1"/>
  <c r="FC69" i="1"/>
  <c r="ES69" i="1"/>
  <c r="EK69" i="1"/>
  <c r="EG69" i="1"/>
  <c r="FF244" i="1" l="1"/>
  <c r="GP244" i="1" s="1"/>
  <c r="GJ257" i="1"/>
  <c r="FU236" i="1"/>
  <c r="FV236" i="1" s="1"/>
  <c r="FV237" i="1"/>
  <c r="FS256" i="1"/>
  <c r="FT256" i="1" s="1"/>
  <c r="FV256" i="1"/>
  <c r="FT258" i="1"/>
  <c r="GI256" i="1"/>
  <c r="GJ256" i="1" s="1"/>
  <c r="GL256" i="1"/>
  <c r="FT257" i="1"/>
  <c r="GL215" i="1"/>
  <c r="FV215" i="1"/>
  <c r="GJ258" i="1"/>
  <c r="EG215" i="1"/>
  <c r="FC66" i="1"/>
  <c r="FC65" i="1" s="1"/>
  <c r="FD65" i="1"/>
  <c r="HO215" i="1"/>
  <c r="HW215" i="1"/>
  <c r="GK236" i="1"/>
  <c r="GL236" i="1" s="1"/>
  <c r="FS237" i="1"/>
  <c r="FS215" i="1"/>
  <c r="FT215" i="1" s="1"/>
  <c r="FG215" i="1"/>
  <c r="GV255" i="1"/>
  <c r="GU255" i="1" s="1"/>
  <c r="GI215" i="1"/>
  <c r="EG243" i="1"/>
  <c r="ES215" i="1"/>
  <c r="FO215" i="1"/>
  <c r="GI237" i="1"/>
  <c r="FS243" i="1"/>
  <c r="HH256" i="1"/>
  <c r="HG256" i="1" s="1"/>
  <c r="GD215" i="1"/>
  <c r="FC243" i="1"/>
  <c r="HS215" i="1"/>
  <c r="FC215" i="1"/>
  <c r="ES243" i="1"/>
  <c r="EK243" i="1"/>
  <c r="HG215" i="1"/>
  <c r="IA215" i="1"/>
  <c r="GB69" i="1"/>
  <c r="GA66" i="1"/>
  <c r="HS66" i="1"/>
  <c r="HG246" i="1"/>
  <c r="HW246" i="1"/>
  <c r="GJ69" i="1"/>
  <c r="EG66" i="1"/>
  <c r="IA66" i="1"/>
  <c r="HS246" i="1"/>
  <c r="IA246" i="1"/>
  <c r="GB257" i="1"/>
  <c r="ET245" i="1"/>
  <c r="ES245" i="1" s="1"/>
  <c r="ES246" i="1"/>
  <c r="EG246" i="1"/>
  <c r="ES66" i="1"/>
  <c r="GI66" i="1"/>
  <c r="GJ66" i="1" s="1"/>
  <c r="GV246" i="1"/>
  <c r="EL246" i="1"/>
  <c r="HG243" i="1"/>
  <c r="HW243" i="1"/>
  <c r="HS243" i="1"/>
  <c r="GB256" i="1"/>
  <c r="GB258" i="1"/>
  <c r="GA246" i="1"/>
  <c r="FP245" i="1"/>
  <c r="FO245" i="1" s="1"/>
  <c r="GI246" i="1"/>
  <c r="GD256" i="1"/>
  <c r="FU255" i="1"/>
  <c r="GC255" i="1"/>
  <c r="GK255" i="1"/>
  <c r="FD255" i="1"/>
  <c r="FC255" i="1" s="1"/>
  <c r="FP255" i="1"/>
  <c r="FO255" i="1" s="1"/>
  <c r="HT255" i="1"/>
  <c r="HS255" i="1" s="1"/>
  <c r="IB255" i="1"/>
  <c r="IA255" i="1" s="1"/>
  <c r="FH256" i="1"/>
  <c r="HX256" i="1"/>
  <c r="GA215" i="1"/>
  <c r="GA237" i="1"/>
  <c r="GA243" i="1"/>
  <c r="FC237" i="1"/>
  <c r="GD237" i="1"/>
  <c r="FT66" i="1"/>
  <c r="FV66" i="1"/>
  <c r="GD66" i="1"/>
  <c r="GL66" i="1"/>
  <c r="FT69" i="1"/>
  <c r="GL255" i="1" l="1"/>
  <c r="FT243" i="1"/>
  <c r="FU245" i="1"/>
  <c r="FS245" i="1" s="1"/>
  <c r="FV255" i="1"/>
  <c r="GJ237" i="1"/>
  <c r="FT237" i="1"/>
  <c r="GB66" i="1"/>
  <c r="GJ215" i="1"/>
  <c r="GB243" i="1"/>
  <c r="HH255" i="1"/>
  <c r="HG255" i="1" s="1"/>
  <c r="GB215" i="1"/>
  <c r="EK246" i="1"/>
  <c r="EL245" i="1"/>
  <c r="EK245" i="1" s="1"/>
  <c r="GU246" i="1"/>
  <c r="HW256" i="1"/>
  <c r="HX255" i="1"/>
  <c r="HW255" i="1" s="1"/>
  <c r="GA255" i="1"/>
  <c r="GB255" i="1" s="1"/>
  <c r="GD255" i="1"/>
  <c r="FG256" i="1"/>
  <c r="FH255" i="1"/>
  <c r="FG255" i="1" s="1"/>
  <c r="FS255" i="1"/>
  <c r="FT255" i="1" s="1"/>
  <c r="GI255" i="1"/>
  <c r="GJ255" i="1" s="1"/>
  <c r="GB237" i="1"/>
  <c r="GC78" i="1"/>
  <c r="FU244" i="1" l="1"/>
  <c r="GC92" i="1"/>
  <c r="GC91" i="1" s="1"/>
  <c r="GA94" i="1"/>
  <c r="GD94" i="1"/>
  <c r="FU19" i="1" l="1"/>
  <c r="FY287" i="1" l="1"/>
  <c r="GK29" i="1"/>
  <c r="GK28" i="1"/>
  <c r="GC29" i="1"/>
  <c r="GC28" i="1"/>
  <c r="GK288" i="1"/>
  <c r="GC288" i="1"/>
  <c r="GF270" i="1"/>
  <c r="GI314" i="1" l="1"/>
  <c r="GI315" i="1"/>
  <c r="GI316" i="1"/>
  <c r="GI317" i="1"/>
  <c r="GJ317" i="1" s="1"/>
  <c r="GI320" i="1"/>
  <c r="GI321" i="1"/>
  <c r="GI322" i="1"/>
  <c r="GI324" i="1"/>
  <c r="GI325" i="1"/>
  <c r="GI326" i="1"/>
  <c r="GI327" i="1"/>
  <c r="GI328" i="1"/>
  <c r="GI329" i="1"/>
  <c r="GI311" i="1"/>
  <c r="FU312" i="1"/>
  <c r="FU311" i="1"/>
  <c r="FV311" i="1" s="1"/>
  <c r="GK294" i="1"/>
  <c r="GK293" i="1"/>
  <c r="FU294" i="1"/>
  <c r="FU293" i="1"/>
  <c r="GK389" i="1"/>
  <c r="GK390" i="1"/>
  <c r="GK388" i="1"/>
  <c r="FS385" i="1"/>
  <c r="FZ385" i="1"/>
  <c r="FU389" i="1"/>
  <c r="FU390" i="1"/>
  <c r="FU388" i="1"/>
  <c r="GK383" i="1"/>
  <c r="GK382" i="1"/>
  <c r="GK381" i="1"/>
  <c r="GK380" i="1"/>
  <c r="FU379" i="1"/>
  <c r="FS312" i="1" l="1"/>
  <c r="FU310" i="1"/>
  <c r="GC292" i="1"/>
  <c r="GK310" i="1"/>
  <c r="GI310" i="1" s="1"/>
  <c r="FS311" i="1"/>
  <c r="FU292" i="1"/>
  <c r="GK292" i="1"/>
  <c r="GC310" i="1"/>
  <c r="GI312" i="1"/>
  <c r="GK377" i="1"/>
  <c r="FS310" i="1" l="1"/>
  <c r="FY363" i="1"/>
  <c r="FU363" i="1"/>
  <c r="FZ375" i="1"/>
  <c r="FZ376" i="1"/>
  <c r="FS376" i="1"/>
  <c r="FS375" i="1"/>
  <c r="FY374" i="1"/>
  <c r="FS374" i="1" s="1"/>
  <c r="GL324" i="1"/>
  <c r="GL325" i="1"/>
  <c r="GK323" i="1"/>
  <c r="GI323" i="1" s="1"/>
  <c r="GD324" i="1"/>
  <c r="GD325" i="1"/>
  <c r="GA324" i="1"/>
  <c r="GC323" i="1"/>
  <c r="GA325" i="1"/>
  <c r="FS324" i="1"/>
  <c r="FU323" i="1"/>
  <c r="FS325" i="1"/>
  <c r="GK319" i="1"/>
  <c r="GI319" i="1" s="1"/>
  <c r="GL320" i="1"/>
  <c r="GL321" i="1"/>
  <c r="GK313" i="1"/>
  <c r="GI313" i="1" s="1"/>
  <c r="GL314" i="1"/>
  <c r="GL315" i="1"/>
  <c r="FS296" i="1"/>
  <c r="FS323" i="1" l="1"/>
  <c r="FS363" i="1"/>
  <c r="GA323" i="1"/>
  <c r="FY274" i="1"/>
  <c r="FZ274" i="1" s="1"/>
  <c r="GI234" i="1"/>
  <c r="GJ234" i="1" s="1"/>
  <c r="GI233" i="1"/>
  <c r="GJ233" i="1" s="1"/>
  <c r="GK232" i="1"/>
  <c r="FU224" i="1"/>
  <c r="GK224" i="1"/>
  <c r="GI226" i="1"/>
  <c r="GI227" i="1"/>
  <c r="GK221" i="1"/>
  <c r="GK223" i="1"/>
  <c r="GK220" i="1"/>
  <c r="GL220" i="1" s="1"/>
  <c r="GK218" i="1"/>
  <c r="FS267" i="1"/>
  <c r="FS264" i="1"/>
  <c r="FY263" i="1"/>
  <c r="GI267" i="1"/>
  <c r="GO263" i="1"/>
  <c r="GI264" i="1"/>
  <c r="GO173" i="1"/>
  <c r="GO172" i="1" s="1"/>
  <c r="GO163" i="1"/>
  <c r="GO162" i="1" s="1"/>
  <c r="GO155" i="1"/>
  <c r="GO156" i="1"/>
  <c r="GO154" i="1"/>
  <c r="GO146" i="1"/>
  <c r="GO143" i="1"/>
  <c r="GO149" i="1"/>
  <c r="GO148" i="1"/>
  <c r="GO138" i="1"/>
  <c r="GL43" i="1"/>
  <c r="GI43" i="1"/>
  <c r="GJ43" i="1" s="1"/>
  <c r="GI41" i="1"/>
  <c r="GK42" i="1"/>
  <c r="GI42" i="1" s="1"/>
  <c r="GK113" i="1"/>
  <c r="GI113" i="1" s="1"/>
  <c r="GI114" i="1"/>
  <c r="FY288" i="1" l="1"/>
  <c r="GK219" i="1"/>
  <c r="GK231" i="1"/>
  <c r="GL232" i="1"/>
  <c r="GI263" i="1"/>
  <c r="GO142" i="1"/>
  <c r="GO287" i="1"/>
  <c r="GO253" i="1"/>
  <c r="GK40" i="1"/>
  <c r="FS263" i="1"/>
  <c r="GI254" i="1"/>
  <c r="GI232" i="1"/>
  <c r="GJ232" i="1" s="1"/>
  <c r="GO288" i="1" l="1"/>
  <c r="GI231" i="1"/>
  <c r="GJ231" i="1" s="1"/>
  <c r="GL231" i="1"/>
  <c r="GI40" i="1"/>
  <c r="GI253" i="1"/>
  <c r="FY148" i="1" l="1"/>
  <c r="FY159" i="1"/>
  <c r="FY158" i="1" s="1"/>
  <c r="FV114" i="1" l="1"/>
  <c r="FS113" i="1"/>
  <c r="FS114" i="1"/>
  <c r="GK195" i="1"/>
  <c r="FU195" i="1"/>
  <c r="FU120" i="1"/>
  <c r="FU119" i="1" s="1"/>
  <c r="GI104" i="1"/>
  <c r="FS104" i="1"/>
  <c r="GI99" i="1"/>
  <c r="FU97" i="1"/>
  <c r="FS97" i="1" s="1"/>
  <c r="FS99" i="1"/>
  <c r="GI93" i="1"/>
  <c r="GI94" i="1"/>
  <c r="GK63" i="1"/>
  <c r="GI60" i="1"/>
  <c r="FS60" i="1"/>
  <c r="GI57" i="1"/>
  <c r="FS57" i="1"/>
  <c r="GI67" i="1"/>
  <c r="FS68" i="1"/>
  <c r="FS67" i="1"/>
  <c r="GI46" i="1"/>
  <c r="GI47" i="1"/>
  <c r="FS47" i="1"/>
  <c r="FS46" i="1"/>
  <c r="GI48" i="1"/>
  <c r="FU194" i="1" l="1"/>
  <c r="FU192" i="1" s="1"/>
  <c r="GK194" i="1"/>
  <c r="GK192" i="1" s="1"/>
  <c r="GK64" i="1"/>
  <c r="FU96" i="1"/>
  <c r="FS96" i="1" s="1"/>
  <c r="FS44" i="1"/>
  <c r="FS45" i="1"/>
  <c r="GI243" i="1" l="1"/>
  <c r="GJ243" i="1" s="1"/>
  <c r="GA334" i="1"/>
  <c r="GA335" i="1"/>
  <c r="GF336" i="1"/>
  <c r="FE335" i="1"/>
  <c r="FE333" i="1"/>
  <c r="FE334" i="1"/>
  <c r="FC335" i="1" l="1"/>
  <c r="FT335" i="1" s="1"/>
  <c r="FX335" i="1"/>
  <c r="FE332" i="1"/>
  <c r="FX333" i="1"/>
  <c r="GF334" i="1"/>
  <c r="FX334" i="1"/>
  <c r="FC333" i="1"/>
  <c r="GB335" i="1"/>
  <c r="FC334" i="1"/>
  <c r="FT334" i="1" s="1"/>
  <c r="GJ335" i="1"/>
  <c r="GF335" i="1"/>
  <c r="GC19" i="1"/>
  <c r="GB334" i="1" l="1"/>
  <c r="GJ334" i="1"/>
  <c r="FD192" i="1"/>
  <c r="FD223" i="1" l="1"/>
  <c r="FD312" i="1"/>
  <c r="FV312" i="1" s="1"/>
  <c r="FD326" i="1"/>
  <c r="FV326" i="1" s="1"/>
  <c r="FC327" i="1"/>
  <c r="FC325" i="1"/>
  <c r="FT325" i="1" s="1"/>
  <c r="FC324" i="1"/>
  <c r="FT324" i="1" s="1"/>
  <c r="FD323" i="1"/>
  <c r="FV323" i="1" s="1"/>
  <c r="FT327" i="1" l="1"/>
  <c r="GJ327" i="1"/>
  <c r="FV223" i="1"/>
  <c r="GL223" i="1"/>
  <c r="GL312" i="1"/>
  <c r="GL323" i="1"/>
  <c r="GD323" i="1"/>
  <c r="GJ325" i="1"/>
  <c r="GB325" i="1"/>
  <c r="GB324" i="1"/>
  <c r="GJ324" i="1"/>
  <c r="GA265" i="1"/>
  <c r="GB265" i="1" s="1"/>
  <c r="GA266" i="1"/>
  <c r="GB266" i="1" s="1"/>
  <c r="GA267" i="1"/>
  <c r="GB267" i="1" s="1"/>
  <c r="GA264" i="1"/>
  <c r="GB264" i="1" s="1"/>
  <c r="GH265" i="1"/>
  <c r="GH266" i="1"/>
  <c r="GH267" i="1"/>
  <c r="GH264" i="1"/>
  <c r="GG263" i="1"/>
  <c r="GG285" i="1" s="1"/>
  <c r="GH376" i="1"/>
  <c r="GH375" i="1"/>
  <c r="FD218" i="1"/>
  <c r="FD219" i="1" l="1"/>
  <c r="FV218" i="1"/>
  <c r="GL218" i="1"/>
  <c r="GA263" i="1"/>
  <c r="GG288" i="1"/>
  <c r="GC120" i="1"/>
  <c r="GC119" i="1" s="1"/>
  <c r="FD92" i="1"/>
  <c r="GA102" i="1"/>
  <c r="GA103" i="1"/>
  <c r="GD102" i="1"/>
  <c r="GD103" i="1"/>
  <c r="GC101" i="1"/>
  <c r="GC100" i="1" s="1"/>
  <c r="GA100" i="1" s="1"/>
  <c r="FD101" i="1"/>
  <c r="FC103" i="1"/>
  <c r="FC102" i="1"/>
  <c r="FC101" i="1" l="1"/>
  <c r="FT101" i="1" s="1"/>
  <c r="FV101" i="1"/>
  <c r="GL101" i="1"/>
  <c r="FV219" i="1"/>
  <c r="GL219" i="1"/>
  <c r="GJ102" i="1"/>
  <c r="FT102" i="1"/>
  <c r="GJ103" i="1"/>
  <c r="FT103" i="1"/>
  <c r="GD101" i="1"/>
  <c r="GA101" i="1"/>
  <c r="GB103" i="1"/>
  <c r="GB102" i="1"/>
  <c r="FD100" i="1"/>
  <c r="GJ101" i="1" l="1"/>
  <c r="GB101" i="1"/>
  <c r="FC100" i="1"/>
  <c r="FV100" i="1"/>
  <c r="GL100" i="1"/>
  <c r="GB100" i="1"/>
  <c r="FT100" i="1"/>
  <c r="GJ100" i="1"/>
  <c r="GD100" i="1"/>
  <c r="FC43" i="1"/>
  <c r="FT43" i="1" l="1"/>
  <c r="GB43" i="1"/>
  <c r="GC224" i="1"/>
  <c r="GD226" i="1"/>
  <c r="GA226" i="1"/>
  <c r="FD225" i="1"/>
  <c r="GC377" i="1"/>
  <c r="GA377" i="1" s="1"/>
  <c r="GA379" i="1"/>
  <c r="FV225" i="1" l="1"/>
  <c r="GL225" i="1"/>
  <c r="GG158" i="1"/>
  <c r="GA376" i="1"/>
  <c r="GA375" i="1"/>
  <c r="GC313" i="1"/>
  <c r="GA313" i="1" s="1"/>
  <c r="GA311" i="1"/>
  <c r="GD315" i="1"/>
  <c r="GA315" i="1"/>
  <c r="GC192" i="1"/>
  <c r="GC97" i="1"/>
  <c r="GC96" i="1" s="1"/>
  <c r="GA310" i="1" l="1"/>
  <c r="GA312" i="1"/>
  <c r="GO28" i="1" l="1"/>
  <c r="GM28" i="1"/>
  <c r="GI28" i="1"/>
  <c r="FF167" i="1"/>
  <c r="FF172" i="1"/>
  <c r="FF159" i="1"/>
  <c r="GO159" i="1" s="1"/>
  <c r="GO158" i="1" s="1"/>
  <c r="FF138" i="1"/>
  <c r="FF365" i="1"/>
  <c r="GO365" i="1" s="1"/>
  <c r="FD353" i="1"/>
  <c r="FV353" i="1" s="1"/>
  <c r="FD328" i="1"/>
  <c r="FV328" i="1" s="1"/>
  <c r="FC321" i="1"/>
  <c r="FC320" i="1"/>
  <c r="FC315" i="1"/>
  <c r="FT315" i="1" s="1"/>
  <c r="FC314" i="1"/>
  <c r="G311" i="1"/>
  <c r="M311" i="1"/>
  <c r="S311" i="1"/>
  <c r="U311" i="1"/>
  <c r="V311" i="1"/>
  <c r="AA311" i="1"/>
  <c r="AB311" i="1"/>
  <c r="AD311" i="1"/>
  <c r="AE311" i="1"/>
  <c r="AH311" i="1"/>
  <c r="AI311" i="1"/>
  <c r="AJ311" i="1"/>
  <c r="AM311" i="1"/>
  <c r="AN311" i="1"/>
  <c r="AP311" i="1"/>
  <c r="AU311" i="1"/>
  <c r="BA311" i="1"/>
  <c r="BC311" i="1"/>
  <c r="BD311" i="1"/>
  <c r="BI311" i="1"/>
  <c r="BJ311" i="1"/>
  <c r="BK311" i="1"/>
  <c r="BM311" i="1"/>
  <c r="BN311" i="1"/>
  <c r="BO311" i="1"/>
  <c r="BQ311" i="1"/>
  <c r="BR311" i="1"/>
  <c r="BU311" i="1"/>
  <c r="BW311" i="1"/>
  <c r="BX311" i="1"/>
  <c r="CC311" i="1"/>
  <c r="CD311" i="1"/>
  <c r="CI311" i="1"/>
  <c r="CJ311" i="1"/>
  <c r="CR311" i="1"/>
  <c r="CS311" i="1"/>
  <c r="CU311" i="1"/>
  <c r="CV311" i="1"/>
  <c r="CY311" i="1"/>
  <c r="DA311" i="1"/>
  <c r="DB311" i="1"/>
  <c r="DH311" i="1"/>
  <c r="DK311" i="1"/>
  <c r="DN311" i="1"/>
  <c r="DP311" i="1"/>
  <c r="DQ311" i="1"/>
  <c r="DT311" i="1"/>
  <c r="DV311" i="1"/>
  <c r="DW311" i="1"/>
  <c r="DY311" i="1"/>
  <c r="DZ311" i="1"/>
  <c r="EA311" i="1"/>
  <c r="EB311" i="1"/>
  <c r="EC311" i="1"/>
  <c r="EF311" i="1"/>
  <c r="EH311" i="1"/>
  <c r="EJ311" i="1"/>
  <c r="EN311" i="1"/>
  <c r="EP311" i="1"/>
  <c r="ER311" i="1"/>
  <c r="ET311" i="1"/>
  <c r="EV311" i="1"/>
  <c r="EX311" i="1"/>
  <c r="EW311" i="1" s="1"/>
  <c r="EY311" i="1"/>
  <c r="FB311" i="1"/>
  <c r="GX311" i="1"/>
  <c r="HJ311" i="1"/>
  <c r="HN311" i="1"/>
  <c r="HP311" i="1"/>
  <c r="HV311" i="1"/>
  <c r="HZ311" i="1"/>
  <c r="ID311" i="1"/>
  <c r="FD224" i="1"/>
  <c r="FD221" i="1"/>
  <c r="FV221" i="1" l="1"/>
  <c r="GL221" i="1"/>
  <c r="GL224" i="1"/>
  <c r="FV224" i="1"/>
  <c r="GJ314" i="1"/>
  <c r="FT314" i="1"/>
  <c r="GJ320" i="1"/>
  <c r="FT320" i="1"/>
  <c r="GJ321" i="1"/>
  <c r="FT321" i="1"/>
  <c r="GB315" i="1"/>
  <c r="GJ315" i="1"/>
  <c r="FF166" i="1"/>
  <c r="GO167" i="1"/>
  <c r="GO166" i="1" s="1"/>
  <c r="FC329" i="1"/>
  <c r="FT329" i="1" s="1"/>
  <c r="FD319" i="1"/>
  <c r="FV319" i="1" s="1"/>
  <c r="FD313" i="1"/>
  <c r="T311" i="1"/>
  <c r="FC195" i="1"/>
  <c r="FD42" i="1"/>
  <c r="FD41" i="1"/>
  <c r="GD379" i="1"/>
  <c r="GD42" i="1" l="1"/>
  <c r="FV42" i="1"/>
  <c r="GD41" i="1"/>
  <c r="FV41" i="1"/>
  <c r="GD313" i="1"/>
  <c r="FV313" i="1"/>
  <c r="GJ329" i="1"/>
  <c r="GL41" i="1"/>
  <c r="GJ41" i="1"/>
  <c r="FD40" i="1"/>
  <c r="GL42" i="1"/>
  <c r="GJ42" i="1"/>
  <c r="GD311" i="1"/>
  <c r="IH313" i="1"/>
  <c r="FC312" i="1"/>
  <c r="FT312" i="1" s="1"/>
  <c r="GD312" i="1"/>
  <c r="FD310" i="1"/>
  <c r="FV310" i="1" s="1"/>
  <c r="FC311" i="1"/>
  <c r="FT311" i="1" s="1"/>
  <c r="FV40" i="1" l="1"/>
  <c r="GD40" i="1"/>
  <c r="GB312" i="1"/>
  <c r="GJ312" i="1"/>
  <c r="GB311" i="1"/>
  <c r="GD310" i="1"/>
  <c r="GL40" i="1"/>
  <c r="GJ40" i="1"/>
  <c r="GL311" i="1"/>
  <c r="IH296" i="1" l="1"/>
  <c r="GC304" i="1"/>
  <c r="GK308" i="1" l="1"/>
  <c r="FU295" i="1"/>
  <c r="FS295" i="1" l="1"/>
  <c r="GO23" i="1"/>
  <c r="GO22" i="1"/>
  <c r="GO21" i="1"/>
  <c r="GO19" i="1"/>
  <c r="GO16" i="1"/>
  <c r="GO15" i="1"/>
  <c r="GO290" i="1"/>
  <c r="GO354" i="1" s="1"/>
  <c r="GO209" i="1"/>
  <c r="GP372" i="1" l="1"/>
  <c r="GO364" i="1"/>
  <c r="GG364" i="1"/>
  <c r="GG362" i="1" s="1"/>
  <c r="GG363" i="1"/>
  <c r="FY364" i="1"/>
  <c r="FY362" i="1" s="1"/>
  <c r="FY361" i="1" l="1"/>
  <c r="GG361" i="1"/>
  <c r="GA28" i="1"/>
  <c r="FY28" i="1"/>
  <c r="FW28" i="1"/>
  <c r="GJ372" i="1"/>
  <c r="GK363" i="1"/>
  <c r="GC363" i="1"/>
  <c r="GC362" i="1"/>
  <c r="GK107" i="1"/>
  <c r="FE28" i="1"/>
  <c r="FF28" i="1"/>
  <c r="GG209" i="1"/>
  <c r="GE211" i="1"/>
  <c r="GE209" i="1"/>
  <c r="GE208" i="1"/>
  <c r="GE207" i="1"/>
  <c r="GK210" i="1"/>
  <c r="GC211" i="1"/>
  <c r="GC210" i="1"/>
  <c r="GA210" i="1" s="1"/>
  <c r="FU211" i="1"/>
  <c r="FS347" i="1"/>
  <c r="GI347" i="1"/>
  <c r="GM346" i="1"/>
  <c r="GI346" i="1" s="1"/>
  <c r="FD34" i="1"/>
  <c r="FC34" i="1" s="1"/>
  <c r="GP385" i="1"/>
  <c r="GI364" i="1"/>
  <c r="GP365" i="1"/>
  <c r="GI365" i="1"/>
  <c r="GO376" i="1"/>
  <c r="GO375" i="1"/>
  <c r="GI375" i="1" s="1"/>
  <c r="GG374" i="1"/>
  <c r="FY371" i="1"/>
  <c r="GL378" i="1"/>
  <c r="GL379" i="1"/>
  <c r="GL381" i="1"/>
  <c r="GL382" i="1"/>
  <c r="FV378" i="1"/>
  <c r="FV379" i="1"/>
  <c r="FV380" i="1"/>
  <c r="FV381" i="1"/>
  <c r="FV382" i="1"/>
  <c r="FV383" i="1"/>
  <c r="FS379" i="1"/>
  <c r="FS380" i="1"/>
  <c r="FS381" i="1"/>
  <c r="FS382" i="1"/>
  <c r="FS383" i="1"/>
  <c r="GN333" i="1"/>
  <c r="GN336" i="1"/>
  <c r="GN338" i="1"/>
  <c r="GN339" i="1"/>
  <c r="GN340" i="1"/>
  <c r="GN341" i="1"/>
  <c r="GN342" i="1"/>
  <c r="GN343" i="1"/>
  <c r="GN344" i="1"/>
  <c r="GN347" i="1"/>
  <c r="GL296" i="1"/>
  <c r="GL297" i="1"/>
  <c r="GL299" i="1"/>
  <c r="GL300" i="1"/>
  <c r="GL302" i="1"/>
  <c r="GL303" i="1"/>
  <c r="GL305" i="1"/>
  <c r="GL306" i="1"/>
  <c r="GL309" i="1"/>
  <c r="GL313" i="1"/>
  <c r="GL316" i="1"/>
  <c r="GL322" i="1"/>
  <c r="GL326" i="1"/>
  <c r="GL328" i="1"/>
  <c r="GL350" i="1"/>
  <c r="GL351" i="1"/>
  <c r="GL353" i="1"/>
  <c r="FY354" i="1"/>
  <c r="GI383" i="1"/>
  <c r="GL380" i="1"/>
  <c r="GI379" i="1"/>
  <c r="GI381" i="1"/>
  <c r="GI382" i="1"/>
  <c r="GI378" i="1"/>
  <c r="FS371" i="1" l="1"/>
  <c r="GC361" i="1"/>
  <c r="GG371" i="1"/>
  <c r="GA374" i="1"/>
  <c r="GO374" i="1"/>
  <c r="GO371" i="1" s="1"/>
  <c r="FD210" i="1"/>
  <c r="GP375" i="1"/>
  <c r="GO363" i="1"/>
  <c r="GI376" i="1"/>
  <c r="GP376" i="1"/>
  <c r="GO362" i="1"/>
  <c r="GI380" i="1"/>
  <c r="FS378" i="1"/>
  <c r="GL383" i="1"/>
  <c r="GK362" i="1"/>
  <c r="GK361" i="1" s="1"/>
  <c r="FU377" i="1"/>
  <c r="FU362" i="1" s="1"/>
  <c r="FU361" i="1" l="1"/>
  <c r="GO361" i="1"/>
  <c r="FS362" i="1"/>
  <c r="GA371" i="1"/>
  <c r="GI374" i="1"/>
  <c r="GI363" i="1"/>
  <c r="FD358" i="1"/>
  <c r="FC210" i="1"/>
  <c r="GI371" i="1"/>
  <c r="GI362" i="1"/>
  <c r="GI377" i="1"/>
  <c r="FS377" i="1"/>
  <c r="FC358" i="1" l="1"/>
  <c r="FD28" i="1"/>
  <c r="GI361" i="1"/>
  <c r="FD13" i="1" l="1"/>
  <c r="FC28" i="1"/>
  <c r="GI385" i="1" l="1"/>
  <c r="GL390" i="1"/>
  <c r="GI390" i="1"/>
  <c r="GJ390" i="1" s="1"/>
  <c r="GL389" i="1"/>
  <c r="GI389" i="1"/>
  <c r="GJ389" i="1" s="1"/>
  <c r="GL388" i="1"/>
  <c r="GI388" i="1"/>
  <c r="GJ388" i="1" s="1"/>
  <c r="GK387" i="1"/>
  <c r="FV390" i="1"/>
  <c r="FV389" i="1"/>
  <c r="FV388" i="1"/>
  <c r="FS389" i="1"/>
  <c r="FT389" i="1" s="1"/>
  <c r="FS390" i="1"/>
  <c r="FT390" i="1" s="1"/>
  <c r="FS388" i="1"/>
  <c r="FT388" i="1" s="1"/>
  <c r="FU387" i="1"/>
  <c r="GI309" i="1"/>
  <c r="GI308" i="1"/>
  <c r="FU308" i="1"/>
  <c r="FS309" i="1"/>
  <c r="GD305" i="1"/>
  <c r="GD306" i="1"/>
  <c r="GA306" i="1"/>
  <c r="GA305" i="1"/>
  <c r="GA304" i="1"/>
  <c r="FS306" i="1"/>
  <c r="FS305" i="1"/>
  <c r="GI305" i="1"/>
  <c r="GI306" i="1"/>
  <c r="GK304" i="1"/>
  <c r="GI344" i="1"/>
  <c r="GI343" i="1"/>
  <c r="GI342" i="1"/>
  <c r="GI341" i="1"/>
  <c r="GI340" i="1"/>
  <c r="GI339" i="1"/>
  <c r="GI338" i="1"/>
  <c r="GI336" i="1"/>
  <c r="GI333" i="1"/>
  <c r="GM290" i="1"/>
  <c r="GI303" i="1"/>
  <c r="GI302" i="1"/>
  <c r="GK301" i="1"/>
  <c r="GI300" i="1"/>
  <c r="GI299" i="1"/>
  <c r="GK298" i="1"/>
  <c r="GI297" i="1"/>
  <c r="GI296" i="1"/>
  <c r="GK295" i="1"/>
  <c r="GA296" i="1"/>
  <c r="GC295" i="1"/>
  <c r="GA295" i="1" s="1"/>
  <c r="GA297" i="1"/>
  <c r="FS297" i="1"/>
  <c r="GI353" i="1"/>
  <c r="GK352" i="1"/>
  <c r="GI351" i="1"/>
  <c r="GI350" i="1"/>
  <c r="GK349" i="1"/>
  <c r="GI349" i="1" s="1"/>
  <c r="FS353" i="1"/>
  <c r="FU352" i="1"/>
  <c r="FS351" i="1"/>
  <c r="FS350" i="1"/>
  <c r="FU349" i="1"/>
  <c r="FS344" i="1"/>
  <c r="FS343" i="1"/>
  <c r="FS342" i="1"/>
  <c r="FS341" i="1"/>
  <c r="FS340" i="1"/>
  <c r="FS339" i="1"/>
  <c r="FS338" i="1"/>
  <c r="FS336" i="1"/>
  <c r="FS333" i="1"/>
  <c r="FT333" i="1" s="1"/>
  <c r="FS303" i="1"/>
  <c r="FS302" i="1"/>
  <c r="FU301" i="1"/>
  <c r="FS300" i="1"/>
  <c r="FS299" i="1"/>
  <c r="FU298" i="1"/>
  <c r="GI288" i="1"/>
  <c r="GM287" i="1"/>
  <c r="FW288" i="1"/>
  <c r="FW287" i="1"/>
  <c r="FU359" i="1"/>
  <c r="FU29" i="1" s="1"/>
  <c r="GM269" i="1"/>
  <c r="GK269" i="1"/>
  <c r="GN275" i="1"/>
  <c r="GN277" i="1"/>
  <c r="GN278" i="1"/>
  <c r="GI270" i="1"/>
  <c r="GI276" i="1"/>
  <c r="GI275" i="1"/>
  <c r="GI273" i="1"/>
  <c r="GI272" i="1"/>
  <c r="GI271" i="1"/>
  <c r="FS271" i="1"/>
  <c r="FS272" i="1"/>
  <c r="FS273" i="1"/>
  <c r="FS274" i="1"/>
  <c r="FS275" i="1"/>
  <c r="FS276" i="1"/>
  <c r="FS270" i="1"/>
  <c r="FY269" i="1"/>
  <c r="FY285" i="1" s="1"/>
  <c r="FW269" i="1"/>
  <c r="FS332" i="1" l="1"/>
  <c r="FX332" i="1"/>
  <c r="FW285" i="1"/>
  <c r="GI274" i="1"/>
  <c r="GO269" i="1"/>
  <c r="GO285" i="1" s="1"/>
  <c r="FS269" i="1"/>
  <c r="FS288" i="1"/>
  <c r="FY286" i="1"/>
  <c r="FS287" i="1"/>
  <c r="GO357" i="1"/>
  <c r="GO27" i="1" s="1"/>
  <c r="GO12" i="1" s="1"/>
  <c r="FW290" i="1"/>
  <c r="GM286" i="1"/>
  <c r="FW286" i="1"/>
  <c r="FS387" i="1"/>
  <c r="GI387" i="1"/>
  <c r="GI293" i="1"/>
  <c r="GI301" i="1"/>
  <c r="GI352" i="1"/>
  <c r="GI295" i="1"/>
  <c r="GI304" i="1"/>
  <c r="FU348" i="1"/>
  <c r="FS308" i="1"/>
  <c r="FS294" i="1"/>
  <c r="FS301" i="1"/>
  <c r="FS349" i="1"/>
  <c r="FS352" i="1"/>
  <c r="FS304" i="1"/>
  <c r="GI287" i="1"/>
  <c r="GM354" i="1"/>
  <c r="GI332" i="1"/>
  <c r="GI298" i="1"/>
  <c r="GI294" i="1"/>
  <c r="FS298" i="1"/>
  <c r="GK348" i="1"/>
  <c r="FS293" i="1"/>
  <c r="GI250" i="1"/>
  <c r="GK249" i="1"/>
  <c r="GI248" i="1"/>
  <c r="FS250" i="1"/>
  <c r="FS248" i="1"/>
  <c r="GI236" i="1"/>
  <c r="GI239" i="1"/>
  <c r="GI242" i="1"/>
  <c r="GI238" i="1"/>
  <c r="FS242" i="1"/>
  <c r="FS239" i="1"/>
  <c r="FS238" i="1"/>
  <c r="GI225" i="1"/>
  <c r="GI224" i="1"/>
  <c r="FS225" i="1"/>
  <c r="FS226" i="1"/>
  <c r="FS227" i="1"/>
  <c r="FS228" i="1"/>
  <c r="FS229" i="1"/>
  <c r="FS230" i="1"/>
  <c r="FT230" i="1" s="1"/>
  <c r="GI223" i="1"/>
  <c r="GI222" i="1"/>
  <c r="GI221" i="1"/>
  <c r="GI220" i="1"/>
  <c r="GI219" i="1"/>
  <c r="GI249" i="1" l="1"/>
  <c r="GK245" i="1"/>
  <c r="GK247" i="1"/>
  <c r="FW354" i="1"/>
  <c r="GM285" i="1"/>
  <c r="GO286" i="1"/>
  <c r="FS246" i="1"/>
  <c r="GI269" i="1"/>
  <c r="FS244" i="1"/>
  <c r="FS236" i="1"/>
  <c r="FS224" i="1"/>
  <c r="GK291" i="1"/>
  <c r="GI291" i="1" s="1"/>
  <c r="FS348" i="1"/>
  <c r="GK217" i="1"/>
  <c r="GI218" i="1"/>
  <c r="FU291" i="1"/>
  <c r="FS292" i="1"/>
  <c r="GI292" i="1"/>
  <c r="GI348" i="1"/>
  <c r="FS249" i="1"/>
  <c r="GI247" i="1" l="1"/>
  <c r="GI245" i="1"/>
  <c r="GK244" i="1"/>
  <c r="GK290" i="1"/>
  <c r="FU290" i="1"/>
  <c r="FS291" i="1"/>
  <c r="GI217" i="1"/>
  <c r="GK216" i="1"/>
  <c r="GI244" i="1" l="1"/>
  <c r="GK214" i="1"/>
  <c r="FS290" i="1"/>
  <c r="GK354" i="1"/>
  <c r="GI354" i="1" s="1"/>
  <c r="GK213" i="1"/>
  <c r="GI290" i="1"/>
  <c r="FU354" i="1"/>
  <c r="GI216" i="1"/>
  <c r="FS219" i="1"/>
  <c r="FS220" i="1"/>
  <c r="FS221" i="1"/>
  <c r="FS222" i="1"/>
  <c r="FS223" i="1"/>
  <c r="FU217" i="1"/>
  <c r="FS218" i="1"/>
  <c r="FU191" i="1"/>
  <c r="FU190" i="1" s="1"/>
  <c r="FU189" i="1" s="1"/>
  <c r="FU18" i="1" s="1"/>
  <c r="GK286" i="1" l="1"/>
  <c r="FU216" i="1"/>
  <c r="FS354" i="1"/>
  <c r="GI213" i="1"/>
  <c r="FS217" i="1"/>
  <c r="FU107" i="1"/>
  <c r="FU33" i="1" s="1"/>
  <c r="GK191" i="1"/>
  <c r="GM137" i="1"/>
  <c r="GM138" i="1"/>
  <c r="GM139" i="1"/>
  <c r="GM140" i="1"/>
  <c r="GM141" i="1"/>
  <c r="GN141" i="1" s="1"/>
  <c r="GM142" i="1"/>
  <c r="GM143" i="1"/>
  <c r="GM144" i="1"/>
  <c r="GM145" i="1"/>
  <c r="GM146" i="1"/>
  <c r="GM147" i="1"/>
  <c r="GN147" i="1" s="1"/>
  <c r="GM148" i="1"/>
  <c r="GM149" i="1"/>
  <c r="GM150" i="1"/>
  <c r="GN150" i="1" s="1"/>
  <c r="GM151" i="1"/>
  <c r="GN151" i="1" s="1"/>
  <c r="GM152" i="1"/>
  <c r="GM153" i="1"/>
  <c r="GM154" i="1"/>
  <c r="GM155" i="1"/>
  <c r="GM156" i="1"/>
  <c r="GM157" i="1"/>
  <c r="GM158" i="1"/>
  <c r="GM159" i="1"/>
  <c r="GM160" i="1"/>
  <c r="GN160" i="1" s="1"/>
  <c r="GM161" i="1"/>
  <c r="GN161" i="1" s="1"/>
  <c r="GM162" i="1"/>
  <c r="GM163" i="1"/>
  <c r="GM164" i="1"/>
  <c r="GN164" i="1" s="1"/>
  <c r="GM165" i="1"/>
  <c r="GN165" i="1" s="1"/>
  <c r="GM166" i="1"/>
  <c r="GM167" i="1"/>
  <c r="GM168" i="1"/>
  <c r="GN168" i="1" s="1"/>
  <c r="GM169" i="1"/>
  <c r="GN169" i="1" s="1"/>
  <c r="GM170" i="1"/>
  <c r="GN170" i="1" s="1"/>
  <c r="GM171" i="1"/>
  <c r="GN171" i="1" s="1"/>
  <c r="GM172" i="1"/>
  <c r="GM173" i="1"/>
  <c r="GO141" i="1"/>
  <c r="GO145" i="1"/>
  <c r="GO147" i="1"/>
  <c r="GO150" i="1"/>
  <c r="GO151" i="1"/>
  <c r="GO153" i="1"/>
  <c r="GO160" i="1"/>
  <c r="GO161" i="1"/>
  <c r="GO164" i="1"/>
  <c r="GO165" i="1"/>
  <c r="GO168" i="1"/>
  <c r="GO169" i="1"/>
  <c r="GO170" i="1"/>
  <c r="GO171" i="1"/>
  <c r="GK132" i="1"/>
  <c r="FU132" i="1"/>
  <c r="GK129" i="1"/>
  <c r="FU129" i="1"/>
  <c r="GK120" i="1"/>
  <c r="FU51" i="1"/>
  <c r="FS51" i="1" s="1"/>
  <c r="GK97" i="1"/>
  <c r="GK88" i="1"/>
  <c r="GI285" i="1" l="1"/>
  <c r="FU214" i="1"/>
  <c r="FU213" i="1" s="1"/>
  <c r="GK285" i="1"/>
  <c r="GK96" i="1"/>
  <c r="GI96" i="1" s="1"/>
  <c r="GI97" i="1"/>
  <c r="GO152" i="1"/>
  <c r="GO137" i="1" s="1"/>
  <c r="GM211" i="1"/>
  <c r="FS216" i="1"/>
  <c r="FU106" i="1"/>
  <c r="FU105" i="1" s="1"/>
  <c r="GK119" i="1"/>
  <c r="GI286" i="1"/>
  <c r="FU88" i="1"/>
  <c r="GK61" i="1"/>
  <c r="FU61" i="1"/>
  <c r="FU36" i="1" s="1"/>
  <c r="GK51" i="1"/>
  <c r="GI51" i="1" s="1"/>
  <c r="FS58" i="1"/>
  <c r="FC58" i="1"/>
  <c r="GK45" i="1"/>
  <c r="FC38" i="1"/>
  <c r="FC49" i="1"/>
  <c r="FC13" i="1"/>
  <c r="FU286" i="1" l="1"/>
  <c r="FU285" i="1"/>
  <c r="GK59" i="1"/>
  <c r="GI59" i="1" s="1"/>
  <c r="FU210" i="1"/>
  <c r="FS210" i="1" s="1"/>
  <c r="FS286" i="1"/>
  <c r="FU59" i="1"/>
  <c r="FS59" i="1" s="1"/>
  <c r="GK44" i="1"/>
  <c r="GI44" i="1" s="1"/>
  <c r="GI45" i="1"/>
  <c r="FU209" i="1"/>
  <c r="FU357" i="1" s="1"/>
  <c r="FS37" i="1"/>
  <c r="FS38" i="1"/>
  <c r="FS49" i="1"/>
  <c r="FS213" i="1"/>
  <c r="FU23" i="1"/>
  <c r="FU22" i="1"/>
  <c r="FY21" i="1"/>
  <c r="FY19" i="1"/>
  <c r="FS20" i="1"/>
  <c r="FF364" i="1"/>
  <c r="GP364" i="1" s="1"/>
  <c r="FS285" i="1" l="1"/>
  <c r="FU27" i="1"/>
  <c r="FU358" i="1"/>
  <c r="FU28" i="1" s="1"/>
  <c r="FS34" i="1"/>
  <c r="FU32" i="1"/>
  <c r="FU208" i="1" s="1"/>
  <c r="FU356" i="1" s="1"/>
  <c r="FU35" i="1"/>
  <c r="FU31" i="1" s="1"/>
  <c r="FU207" i="1" s="1"/>
  <c r="FU355" i="1" s="1"/>
  <c r="FS19" i="1"/>
  <c r="FU17" i="1"/>
  <c r="FS21" i="1"/>
  <c r="FS358" i="1" l="1"/>
  <c r="FU25" i="1"/>
  <c r="FU26" i="1"/>
  <c r="FS28" i="1"/>
  <c r="FU13" i="1"/>
  <c r="FS13" i="1" s="1"/>
  <c r="FC336" i="1"/>
  <c r="FC338" i="1"/>
  <c r="FT338" i="1" s="1"/>
  <c r="FC339" i="1"/>
  <c r="FT339" i="1" s="1"/>
  <c r="FC340" i="1"/>
  <c r="FT340" i="1" s="1"/>
  <c r="FC341" i="1"/>
  <c r="FT341" i="1" s="1"/>
  <c r="FC342" i="1"/>
  <c r="FT342" i="1" s="1"/>
  <c r="FC343" i="1"/>
  <c r="FT343" i="1" s="1"/>
  <c r="FC344" i="1"/>
  <c r="FT344" i="1" s="1"/>
  <c r="GA336" i="1"/>
  <c r="GA338" i="1"/>
  <c r="GA339" i="1"/>
  <c r="GA340" i="1"/>
  <c r="GA341" i="1"/>
  <c r="GA342" i="1"/>
  <c r="GA343" i="1"/>
  <c r="GA344" i="1"/>
  <c r="GA333" i="1"/>
  <c r="GF338" i="1"/>
  <c r="GF339" i="1"/>
  <c r="GF340" i="1"/>
  <c r="GF341" i="1"/>
  <c r="GF342" i="1"/>
  <c r="GF343" i="1"/>
  <c r="GF344" i="1"/>
  <c r="GF333" i="1"/>
  <c r="GJ336" i="1" l="1"/>
  <c r="FT336" i="1"/>
  <c r="GB341" i="1"/>
  <c r="GJ333" i="1"/>
  <c r="GN332" i="1"/>
  <c r="GB333" i="1"/>
  <c r="GJ344" i="1"/>
  <c r="GJ340" i="1"/>
  <c r="GB336" i="1"/>
  <c r="GB343" i="1"/>
  <c r="GJ343" i="1"/>
  <c r="GB339" i="1"/>
  <c r="GJ339" i="1"/>
  <c r="GJ342" i="1"/>
  <c r="GB338" i="1"/>
  <c r="GJ338" i="1"/>
  <c r="GJ341" i="1"/>
  <c r="GB344" i="1"/>
  <c r="GB342" i="1"/>
  <c r="GB340" i="1"/>
  <c r="GA239" i="1" l="1"/>
  <c r="GC133" i="1"/>
  <c r="GC132" i="1" s="1"/>
  <c r="GC61" i="1"/>
  <c r="GC59" i="1" s="1"/>
  <c r="GC51" i="1"/>
  <c r="GC89" i="1"/>
  <c r="GC88" i="1" s="1"/>
  <c r="FF19" i="1" l="1"/>
  <c r="FZ19" i="1" s="1"/>
  <c r="FE287" i="1"/>
  <c r="GG23" i="1"/>
  <c r="GG22" i="1"/>
  <c r="GG21" i="1"/>
  <c r="GA21" i="1" s="1"/>
  <c r="GG19" i="1"/>
  <c r="GG16" i="1"/>
  <c r="GG15" i="1"/>
  <c r="GA385" i="1"/>
  <c r="GH385" i="1"/>
  <c r="GE23" i="1"/>
  <c r="GE22" i="1"/>
  <c r="GE19" i="1"/>
  <c r="GE17" i="1"/>
  <c r="GE16" i="1"/>
  <c r="GE15" i="1"/>
  <c r="GE363" i="1"/>
  <c r="GA363" i="1" s="1"/>
  <c r="GE362" i="1"/>
  <c r="GE290" i="1"/>
  <c r="GE354" i="1" s="1"/>
  <c r="GA332" i="1"/>
  <c r="FE19" i="1"/>
  <c r="FF21" i="1"/>
  <c r="FD21" i="1"/>
  <c r="FD20" i="1"/>
  <c r="GA288" i="1"/>
  <c r="GE287" i="1"/>
  <c r="GD296" i="1"/>
  <c r="GD297" i="1"/>
  <c r="GD299" i="1"/>
  <c r="GD300" i="1"/>
  <c r="GD302" i="1"/>
  <c r="GD303" i="1"/>
  <c r="GA294" i="1"/>
  <c r="GA302" i="1"/>
  <c r="GA300" i="1"/>
  <c r="GC298" i="1"/>
  <c r="GA298" i="1" s="1"/>
  <c r="GC301" i="1"/>
  <c r="GA301" i="1" s="1"/>
  <c r="GA303" i="1"/>
  <c r="GA299" i="1"/>
  <c r="GA236" i="1"/>
  <c r="GA238" i="1"/>
  <c r="GA242" i="1"/>
  <c r="GD239" i="1"/>
  <c r="GD238" i="1"/>
  <c r="GD225" i="1"/>
  <c r="GD227" i="1"/>
  <c r="GA225" i="1"/>
  <c r="GA224" i="1"/>
  <c r="GA227" i="1"/>
  <c r="GD220" i="1"/>
  <c r="GD221" i="1"/>
  <c r="GD222" i="1"/>
  <c r="GD223" i="1"/>
  <c r="GA220" i="1"/>
  <c r="GA221" i="1"/>
  <c r="GA222" i="1"/>
  <c r="GA223" i="1"/>
  <c r="FC222" i="1"/>
  <c r="GG354" i="1"/>
  <c r="GE359" i="1"/>
  <c r="GE29" i="1" s="1"/>
  <c r="GC352" i="1"/>
  <c r="GA352" i="1" s="1"/>
  <c r="GD353" i="1"/>
  <c r="GA353" i="1"/>
  <c r="GA248" i="1"/>
  <c r="FC254" i="1"/>
  <c r="FF253" i="1"/>
  <c r="GP253" i="1" s="1"/>
  <c r="GA350" i="1"/>
  <c r="GC348" i="1"/>
  <c r="GA351" i="1"/>
  <c r="GA250" i="1"/>
  <c r="GD250" i="1"/>
  <c r="GC249" i="1"/>
  <c r="FD249" i="1"/>
  <c r="GC107" i="1"/>
  <c r="GC129" i="1"/>
  <c r="GC106" i="1" s="1"/>
  <c r="GC45" i="1"/>
  <c r="GC36" i="1" s="1"/>
  <c r="GA37" i="1"/>
  <c r="GD389" i="1"/>
  <c r="GD390" i="1"/>
  <c r="GD388" i="1"/>
  <c r="GA389" i="1"/>
  <c r="GA388" i="1"/>
  <c r="GC387" i="1"/>
  <c r="GC15" i="1" s="1"/>
  <c r="FD387" i="1"/>
  <c r="FC387" i="1" s="1"/>
  <c r="FC389" i="1"/>
  <c r="FC388" i="1"/>
  <c r="GD271" i="1"/>
  <c r="GD272" i="1"/>
  <c r="GD273" i="1"/>
  <c r="GD275" i="1"/>
  <c r="GD276" i="1"/>
  <c r="GD270" i="1"/>
  <c r="GA271" i="1"/>
  <c r="GA272" i="1"/>
  <c r="GA273" i="1"/>
  <c r="GA274" i="1"/>
  <c r="GA275" i="1"/>
  <c r="GA276" i="1"/>
  <c r="GE285" i="1"/>
  <c r="GA270" i="1"/>
  <c r="GM359" i="1"/>
  <c r="GM29" i="1" s="1"/>
  <c r="GO206" i="1"/>
  <c r="GP206" i="1" s="1"/>
  <c r="GM206" i="1"/>
  <c r="GN206" i="1" s="1"/>
  <c r="GK206" i="1"/>
  <c r="GG206" i="1"/>
  <c r="GH206" i="1" s="1"/>
  <c r="FY206" i="1"/>
  <c r="FZ206" i="1" s="1"/>
  <c r="FW206" i="1"/>
  <c r="FX206" i="1" s="1"/>
  <c r="GO205" i="1"/>
  <c r="GP205" i="1" s="1"/>
  <c r="GM205" i="1"/>
  <c r="GN205" i="1" s="1"/>
  <c r="GK205" i="1"/>
  <c r="GL205" i="1" s="1"/>
  <c r="GG205" i="1"/>
  <c r="GH205" i="1" s="1"/>
  <c r="GD205" i="1"/>
  <c r="FY205" i="1"/>
  <c r="FZ205" i="1" s="1"/>
  <c r="FW205" i="1"/>
  <c r="FX205" i="1" s="1"/>
  <c r="FV205" i="1"/>
  <c r="GO204" i="1"/>
  <c r="GP204" i="1" s="1"/>
  <c r="GM204" i="1"/>
  <c r="GN204" i="1" s="1"/>
  <c r="GK204" i="1"/>
  <c r="GG204" i="1"/>
  <c r="GH204" i="1" s="1"/>
  <c r="FY204" i="1"/>
  <c r="FZ204" i="1" s="1"/>
  <c r="FW204" i="1"/>
  <c r="FX204" i="1" s="1"/>
  <c r="GO203" i="1"/>
  <c r="GP203" i="1" s="1"/>
  <c r="GM203" i="1"/>
  <c r="GN203" i="1" s="1"/>
  <c r="GK203" i="1"/>
  <c r="GG203" i="1"/>
  <c r="GH203" i="1" s="1"/>
  <c r="FY203" i="1"/>
  <c r="FZ203" i="1" s="1"/>
  <c r="FW203" i="1"/>
  <c r="FX203" i="1" s="1"/>
  <c r="GO202" i="1"/>
  <c r="GP202" i="1" s="1"/>
  <c r="GM202" i="1"/>
  <c r="GK202" i="1"/>
  <c r="GL202" i="1" s="1"/>
  <c r="GG202" i="1"/>
  <c r="GH202" i="1" s="1"/>
  <c r="GD202" i="1"/>
  <c r="FY202" i="1"/>
  <c r="FZ202" i="1" s="1"/>
  <c r="FW202" i="1"/>
  <c r="FX202" i="1" s="1"/>
  <c r="FV202" i="1"/>
  <c r="GO201" i="1"/>
  <c r="GP201" i="1" s="1"/>
  <c r="GM201" i="1"/>
  <c r="GN201" i="1" s="1"/>
  <c r="GK201" i="1"/>
  <c r="GG201" i="1"/>
  <c r="GH201" i="1" s="1"/>
  <c r="GD201" i="1"/>
  <c r="FY201" i="1"/>
  <c r="FZ201" i="1" s="1"/>
  <c r="FW201" i="1"/>
  <c r="FX201" i="1" s="1"/>
  <c r="FV201" i="1"/>
  <c r="GO200" i="1"/>
  <c r="GP200" i="1" s="1"/>
  <c r="GM200" i="1"/>
  <c r="GN200" i="1" s="1"/>
  <c r="GK200" i="1"/>
  <c r="GG200" i="1"/>
  <c r="GH200" i="1" s="1"/>
  <c r="GD200" i="1"/>
  <c r="FY200" i="1"/>
  <c r="FZ200" i="1" s="1"/>
  <c r="FW200" i="1"/>
  <c r="FX200" i="1" s="1"/>
  <c r="FV200" i="1"/>
  <c r="GO199" i="1"/>
  <c r="GP199" i="1" s="1"/>
  <c r="GM199" i="1"/>
  <c r="GN199" i="1" s="1"/>
  <c r="GK199" i="1"/>
  <c r="GL199" i="1" s="1"/>
  <c r="GG199" i="1"/>
  <c r="GA199" i="1" s="1"/>
  <c r="GD199" i="1"/>
  <c r="FY199" i="1"/>
  <c r="FZ199" i="1" s="1"/>
  <c r="FW199" i="1"/>
  <c r="FX199" i="1" s="1"/>
  <c r="FV199" i="1"/>
  <c r="GO198" i="1"/>
  <c r="GM198" i="1"/>
  <c r="GN198" i="1" s="1"/>
  <c r="GK198" i="1"/>
  <c r="GG198" i="1"/>
  <c r="GH198" i="1" s="1"/>
  <c r="FY198" i="1"/>
  <c r="FZ198" i="1" s="1"/>
  <c r="FW198" i="1"/>
  <c r="FX198" i="1" s="1"/>
  <c r="GO197" i="1"/>
  <c r="GP197" i="1" s="1"/>
  <c r="GM197" i="1"/>
  <c r="GN197" i="1" s="1"/>
  <c r="GK197" i="1"/>
  <c r="GG197" i="1"/>
  <c r="GH197" i="1" s="1"/>
  <c r="FY197" i="1"/>
  <c r="FW197" i="1"/>
  <c r="FX197" i="1" s="1"/>
  <c r="GO196" i="1"/>
  <c r="GP196" i="1" s="1"/>
  <c r="GM196" i="1"/>
  <c r="GN196" i="1" s="1"/>
  <c r="GK196" i="1"/>
  <c r="GG196" i="1"/>
  <c r="GH196" i="1" s="1"/>
  <c r="GD196" i="1"/>
  <c r="FY196" i="1"/>
  <c r="FZ196" i="1" s="1"/>
  <c r="FW196" i="1"/>
  <c r="FX196" i="1" s="1"/>
  <c r="FV196" i="1"/>
  <c r="GO195" i="1"/>
  <c r="GM195" i="1"/>
  <c r="GD195" i="1"/>
  <c r="FV195" i="1"/>
  <c r="GO194" i="1"/>
  <c r="GM194" i="1"/>
  <c r="GL194" i="1"/>
  <c r="GA194" i="1"/>
  <c r="GD194" i="1"/>
  <c r="FV194" i="1"/>
  <c r="GO193" i="1"/>
  <c r="GM193" i="1"/>
  <c r="GD193" i="1"/>
  <c r="FV193" i="1"/>
  <c r="GO192" i="1"/>
  <c r="GM192" i="1"/>
  <c r="GO191" i="1"/>
  <c r="GM191" i="1"/>
  <c r="GG191" i="1"/>
  <c r="FY191" i="1"/>
  <c r="FW191" i="1"/>
  <c r="GO190" i="1"/>
  <c r="GM190" i="1"/>
  <c r="GG190" i="1"/>
  <c r="FY190" i="1"/>
  <c r="FW190" i="1"/>
  <c r="GO189" i="1"/>
  <c r="GO18" i="1" s="1"/>
  <c r="GO17" i="1" s="1"/>
  <c r="GM189" i="1"/>
  <c r="GM17" i="1" s="1"/>
  <c r="GG189" i="1"/>
  <c r="GG17" i="1" s="1"/>
  <c r="FY189" i="1"/>
  <c r="FY18" i="1" s="1"/>
  <c r="FS18" i="1" s="1"/>
  <c r="FW189" i="1"/>
  <c r="GO188" i="1"/>
  <c r="GP188" i="1" s="1"/>
  <c r="GM188" i="1"/>
  <c r="GN188" i="1" s="1"/>
  <c r="GK188" i="1"/>
  <c r="GG188" i="1"/>
  <c r="GH188" i="1" s="1"/>
  <c r="GD188" i="1"/>
  <c r="FY188" i="1"/>
  <c r="FZ188" i="1" s="1"/>
  <c r="FW188" i="1"/>
  <c r="FX188" i="1" s="1"/>
  <c r="FV188" i="1"/>
  <c r="GO187" i="1"/>
  <c r="GP187" i="1" s="1"/>
  <c r="GM187" i="1"/>
  <c r="GK187" i="1"/>
  <c r="GL187" i="1" s="1"/>
  <c r="GG187" i="1"/>
  <c r="GH187" i="1" s="1"/>
  <c r="GD187" i="1"/>
  <c r="FY187" i="1"/>
  <c r="FZ187" i="1" s="1"/>
  <c r="FW187" i="1"/>
  <c r="FX187" i="1" s="1"/>
  <c r="FV187" i="1"/>
  <c r="GO186" i="1"/>
  <c r="GP186" i="1" s="1"/>
  <c r="GM186" i="1"/>
  <c r="GN186" i="1" s="1"/>
  <c r="GK186" i="1"/>
  <c r="GG186" i="1"/>
  <c r="GH186" i="1" s="1"/>
  <c r="GD186" i="1"/>
  <c r="FY186" i="1"/>
  <c r="FZ186" i="1" s="1"/>
  <c r="FW186" i="1"/>
  <c r="FX186" i="1" s="1"/>
  <c r="FV186" i="1"/>
  <c r="GO185" i="1"/>
  <c r="GP185" i="1" s="1"/>
  <c r="GM185" i="1"/>
  <c r="GN185" i="1" s="1"/>
  <c r="GK185" i="1"/>
  <c r="GG185" i="1"/>
  <c r="GD185" i="1"/>
  <c r="FY185" i="1"/>
  <c r="FZ185" i="1" s="1"/>
  <c r="FW185" i="1"/>
  <c r="FX185" i="1" s="1"/>
  <c r="FV185" i="1"/>
  <c r="GO184" i="1"/>
  <c r="GP184" i="1" s="1"/>
  <c r="GM184" i="1"/>
  <c r="GN184" i="1" s="1"/>
  <c r="GK184" i="1"/>
  <c r="GG184" i="1"/>
  <c r="GH184" i="1" s="1"/>
  <c r="GD184" i="1"/>
  <c r="FY184" i="1"/>
  <c r="FZ184" i="1" s="1"/>
  <c r="FW184" i="1"/>
  <c r="FX184" i="1" s="1"/>
  <c r="FV184" i="1"/>
  <c r="GO183" i="1"/>
  <c r="GP183" i="1" s="1"/>
  <c r="GM183" i="1"/>
  <c r="GK183" i="1"/>
  <c r="GG183" i="1"/>
  <c r="GH183" i="1" s="1"/>
  <c r="FY183" i="1"/>
  <c r="FZ183" i="1" s="1"/>
  <c r="FW183" i="1"/>
  <c r="FX183" i="1" s="1"/>
  <c r="GO182" i="1"/>
  <c r="GP182" i="1" s="1"/>
  <c r="GM182" i="1"/>
  <c r="GN182" i="1" s="1"/>
  <c r="GK182" i="1"/>
  <c r="GL182" i="1" s="1"/>
  <c r="GG182" i="1"/>
  <c r="GH182" i="1" s="1"/>
  <c r="GD182" i="1"/>
  <c r="FY182" i="1"/>
  <c r="FZ182" i="1" s="1"/>
  <c r="FW182" i="1"/>
  <c r="FX182" i="1" s="1"/>
  <c r="FV182" i="1"/>
  <c r="GO181" i="1"/>
  <c r="GP181" i="1" s="1"/>
  <c r="GM181" i="1"/>
  <c r="GK181" i="1"/>
  <c r="GG181" i="1"/>
  <c r="GH181" i="1" s="1"/>
  <c r="GD181" i="1"/>
  <c r="FY181" i="1"/>
  <c r="FZ181" i="1" s="1"/>
  <c r="FW181" i="1"/>
  <c r="FX181" i="1" s="1"/>
  <c r="FV181" i="1"/>
  <c r="GO180" i="1"/>
  <c r="GP180" i="1" s="1"/>
  <c r="GM180" i="1"/>
  <c r="GN180" i="1" s="1"/>
  <c r="GK180" i="1"/>
  <c r="GG180" i="1"/>
  <c r="GH180" i="1" s="1"/>
  <c r="FY180" i="1"/>
  <c r="FZ180" i="1" s="1"/>
  <c r="FW180" i="1"/>
  <c r="FX180" i="1" s="1"/>
  <c r="GO179" i="1"/>
  <c r="GP179" i="1" s="1"/>
  <c r="GM179" i="1"/>
  <c r="GK179" i="1"/>
  <c r="GL179" i="1" s="1"/>
  <c r="GG179" i="1"/>
  <c r="GH179" i="1" s="1"/>
  <c r="GD179" i="1"/>
  <c r="FY179" i="1"/>
  <c r="FZ179" i="1" s="1"/>
  <c r="FW179" i="1"/>
  <c r="FX179" i="1" s="1"/>
  <c r="FV179" i="1"/>
  <c r="GO178" i="1"/>
  <c r="GP178" i="1" s="1"/>
  <c r="GM178" i="1"/>
  <c r="GN178" i="1" s="1"/>
  <c r="GK178" i="1"/>
  <c r="GL178" i="1" s="1"/>
  <c r="GG178" i="1"/>
  <c r="GH178" i="1" s="1"/>
  <c r="GD178" i="1"/>
  <c r="FY178" i="1"/>
  <c r="FZ178" i="1" s="1"/>
  <c r="FW178" i="1"/>
  <c r="FX178" i="1" s="1"/>
  <c r="FV178" i="1"/>
  <c r="GO177" i="1"/>
  <c r="GP177" i="1" s="1"/>
  <c r="GM177" i="1"/>
  <c r="GN177" i="1" s="1"/>
  <c r="GK177" i="1"/>
  <c r="GG177" i="1"/>
  <c r="GH177" i="1" s="1"/>
  <c r="GD177" i="1"/>
  <c r="FY177" i="1"/>
  <c r="FZ177" i="1" s="1"/>
  <c r="FW177" i="1"/>
  <c r="FX177" i="1" s="1"/>
  <c r="FV177" i="1"/>
  <c r="GO176" i="1"/>
  <c r="GP176" i="1" s="1"/>
  <c r="GM176" i="1"/>
  <c r="GN176" i="1" s="1"/>
  <c r="GK176" i="1"/>
  <c r="GG176" i="1"/>
  <c r="GH176" i="1" s="1"/>
  <c r="FY176" i="1"/>
  <c r="FZ176" i="1" s="1"/>
  <c r="FW176" i="1"/>
  <c r="FX176" i="1" s="1"/>
  <c r="GO175" i="1"/>
  <c r="GM175" i="1"/>
  <c r="GK175" i="1"/>
  <c r="GG175" i="1"/>
  <c r="FY175" i="1"/>
  <c r="FW175" i="1"/>
  <c r="FX175" i="1" s="1"/>
  <c r="GO174" i="1"/>
  <c r="GM174" i="1"/>
  <c r="GN174" i="1" s="1"/>
  <c r="GK174" i="1"/>
  <c r="GL174" i="1" s="1"/>
  <c r="GG174" i="1"/>
  <c r="GH174" i="1" s="1"/>
  <c r="GD174" i="1"/>
  <c r="FY174" i="1"/>
  <c r="FZ174" i="1" s="1"/>
  <c r="FW174" i="1"/>
  <c r="FX174" i="1" s="1"/>
  <c r="FV174" i="1"/>
  <c r="GP173" i="1"/>
  <c r="GK173" i="1"/>
  <c r="GG173" i="1"/>
  <c r="GH173" i="1" s="1"/>
  <c r="FY173" i="1"/>
  <c r="FZ173" i="1" s="1"/>
  <c r="FW173" i="1"/>
  <c r="GK172" i="1"/>
  <c r="GG172" i="1"/>
  <c r="FY172" i="1"/>
  <c r="FW172" i="1"/>
  <c r="GP171" i="1"/>
  <c r="GK171" i="1"/>
  <c r="GL171" i="1" s="1"/>
  <c r="GG171" i="1"/>
  <c r="GH171" i="1" s="1"/>
  <c r="FY171" i="1"/>
  <c r="FZ171" i="1" s="1"/>
  <c r="FW171" i="1"/>
  <c r="FX171" i="1" s="1"/>
  <c r="FV171" i="1"/>
  <c r="GK170" i="1"/>
  <c r="GL170" i="1" s="1"/>
  <c r="GG170" i="1"/>
  <c r="GA170" i="1" s="1"/>
  <c r="FY170" i="1"/>
  <c r="FW170" i="1"/>
  <c r="FX170" i="1" s="1"/>
  <c r="FV170" i="1"/>
  <c r="GK169" i="1"/>
  <c r="GL169" i="1" s="1"/>
  <c r="GG169" i="1"/>
  <c r="GA169" i="1" s="1"/>
  <c r="FY169" i="1"/>
  <c r="FW169" i="1"/>
  <c r="FX169" i="1" s="1"/>
  <c r="FV169" i="1"/>
  <c r="GK168" i="1"/>
  <c r="GL168" i="1" s="1"/>
  <c r="GG168" i="1"/>
  <c r="FY168" i="1"/>
  <c r="FW168" i="1"/>
  <c r="FX168" i="1" s="1"/>
  <c r="FV168" i="1"/>
  <c r="GP167" i="1"/>
  <c r="GK167" i="1"/>
  <c r="GG167" i="1"/>
  <c r="GH167" i="1" s="1"/>
  <c r="FY167" i="1"/>
  <c r="FZ167" i="1" s="1"/>
  <c r="FW167" i="1"/>
  <c r="GK166" i="1"/>
  <c r="GG166" i="1"/>
  <c r="GA166" i="1" s="1"/>
  <c r="FY166" i="1"/>
  <c r="FW166" i="1"/>
  <c r="GP165" i="1"/>
  <c r="GK165" i="1"/>
  <c r="GL165" i="1" s="1"/>
  <c r="GG165" i="1"/>
  <c r="FY165" i="1"/>
  <c r="FZ165" i="1" s="1"/>
  <c r="FW165" i="1"/>
  <c r="FX165" i="1" s="1"/>
  <c r="FV165" i="1"/>
  <c r="GP164" i="1"/>
  <c r="GK164" i="1"/>
  <c r="GL164" i="1" s="1"/>
  <c r="GG164" i="1"/>
  <c r="GH164" i="1" s="1"/>
  <c r="FY164" i="1"/>
  <c r="FZ164" i="1" s="1"/>
  <c r="FW164" i="1"/>
  <c r="FX164" i="1" s="1"/>
  <c r="FV164" i="1"/>
  <c r="GP163" i="1"/>
  <c r="GK163" i="1"/>
  <c r="GG163" i="1"/>
  <c r="GH163" i="1" s="1"/>
  <c r="FY163" i="1"/>
  <c r="FZ163" i="1" s="1"/>
  <c r="FW163" i="1"/>
  <c r="GK162" i="1"/>
  <c r="GG162" i="1"/>
  <c r="FY162" i="1"/>
  <c r="FW162" i="1"/>
  <c r="GP161" i="1"/>
  <c r="GK161" i="1"/>
  <c r="GL161" i="1" s="1"/>
  <c r="GG161" i="1"/>
  <c r="GH161" i="1" s="1"/>
  <c r="FY161" i="1"/>
  <c r="FZ161" i="1" s="1"/>
  <c r="FW161" i="1"/>
  <c r="FX161" i="1" s="1"/>
  <c r="FV161" i="1"/>
  <c r="GP160" i="1"/>
  <c r="GK160" i="1"/>
  <c r="GL160" i="1" s="1"/>
  <c r="GG160" i="1"/>
  <c r="GH160" i="1" s="1"/>
  <c r="FY160" i="1"/>
  <c r="FZ160" i="1" s="1"/>
  <c r="FW160" i="1"/>
  <c r="FX160" i="1" s="1"/>
  <c r="FV160" i="1"/>
  <c r="GP159" i="1"/>
  <c r="GK159" i="1"/>
  <c r="GI159" i="1" s="1"/>
  <c r="GH159" i="1"/>
  <c r="FZ159" i="1"/>
  <c r="FW159" i="1"/>
  <c r="GK158" i="1"/>
  <c r="FW158" i="1"/>
  <c r="GP157" i="1"/>
  <c r="GK157" i="1"/>
  <c r="GI157" i="1" s="1"/>
  <c r="GG157" i="1"/>
  <c r="GA157" i="1" s="1"/>
  <c r="FY157" i="1"/>
  <c r="FW157" i="1"/>
  <c r="GK156" i="1"/>
  <c r="GG156" i="1"/>
  <c r="FY156" i="1"/>
  <c r="FW156" i="1"/>
  <c r="GP155" i="1"/>
  <c r="GK155" i="1"/>
  <c r="GH155" i="1"/>
  <c r="FZ155" i="1"/>
  <c r="FW155" i="1"/>
  <c r="GP154" i="1"/>
  <c r="GK154" i="1"/>
  <c r="GG154" i="1"/>
  <c r="FY154" i="1"/>
  <c r="FW154" i="1"/>
  <c r="GP153" i="1"/>
  <c r="GK153" i="1"/>
  <c r="GG153" i="1"/>
  <c r="GH153" i="1" s="1"/>
  <c r="FY153" i="1"/>
  <c r="FZ153" i="1" s="1"/>
  <c r="FW153" i="1"/>
  <c r="GK152" i="1"/>
  <c r="FW152" i="1"/>
  <c r="GP151" i="1"/>
  <c r="GK151" i="1"/>
  <c r="GG151" i="1"/>
  <c r="GH151" i="1" s="1"/>
  <c r="FY151" i="1"/>
  <c r="FZ151" i="1" s="1"/>
  <c r="FW151" i="1"/>
  <c r="FX151" i="1" s="1"/>
  <c r="FV151" i="1"/>
  <c r="GK150" i="1"/>
  <c r="GL150" i="1" s="1"/>
  <c r="GG150" i="1"/>
  <c r="FY150" i="1"/>
  <c r="FW150" i="1"/>
  <c r="FX150" i="1" s="1"/>
  <c r="FV150" i="1"/>
  <c r="GP149" i="1"/>
  <c r="GK149" i="1"/>
  <c r="GG149" i="1"/>
  <c r="GH149" i="1" s="1"/>
  <c r="FY149" i="1"/>
  <c r="FZ149" i="1" s="1"/>
  <c r="FW149" i="1"/>
  <c r="GP148" i="1"/>
  <c r="GK148" i="1"/>
  <c r="GH148" i="1"/>
  <c r="FZ148" i="1"/>
  <c r="FW148" i="1"/>
  <c r="GP147" i="1"/>
  <c r="GK147" i="1"/>
  <c r="GL147" i="1" s="1"/>
  <c r="GG147" i="1"/>
  <c r="GH147" i="1" s="1"/>
  <c r="FY147" i="1"/>
  <c r="FZ147" i="1" s="1"/>
  <c r="FW147" i="1"/>
  <c r="FX147" i="1" s="1"/>
  <c r="FV147" i="1"/>
  <c r="GP146" i="1"/>
  <c r="GK146" i="1"/>
  <c r="GG146" i="1"/>
  <c r="GH146" i="1" s="1"/>
  <c r="FY146" i="1"/>
  <c r="FZ146" i="1" s="1"/>
  <c r="FW146" i="1"/>
  <c r="GP145" i="1"/>
  <c r="GK145" i="1"/>
  <c r="GG145" i="1"/>
  <c r="GH145" i="1" s="1"/>
  <c r="FY145" i="1"/>
  <c r="FZ145" i="1" s="1"/>
  <c r="FW145" i="1"/>
  <c r="GP144" i="1"/>
  <c r="GK144" i="1"/>
  <c r="GG144" i="1"/>
  <c r="GH144" i="1" s="1"/>
  <c r="FY144" i="1"/>
  <c r="FZ144" i="1" s="1"/>
  <c r="FW144" i="1"/>
  <c r="GP143" i="1"/>
  <c r="GK143" i="1"/>
  <c r="GG143" i="1"/>
  <c r="FY143" i="1"/>
  <c r="FW143" i="1"/>
  <c r="FW142" i="1"/>
  <c r="GP141" i="1"/>
  <c r="GL141" i="1"/>
  <c r="GG141" i="1"/>
  <c r="GH141" i="1" s="1"/>
  <c r="FY141" i="1"/>
  <c r="FW141" i="1"/>
  <c r="FX141" i="1" s="1"/>
  <c r="FV141" i="1"/>
  <c r="GP140" i="1"/>
  <c r="GH140" i="1"/>
  <c r="FW140" i="1"/>
  <c r="GK139" i="1"/>
  <c r="GA139" i="1"/>
  <c r="FW139" i="1"/>
  <c r="GK138" i="1"/>
  <c r="FW138" i="1"/>
  <c r="GK137" i="1"/>
  <c r="GK211" i="1" s="1"/>
  <c r="FW137" i="1"/>
  <c r="FW211" i="1" s="1"/>
  <c r="FW359" i="1" s="1"/>
  <c r="GO136" i="1"/>
  <c r="GM136" i="1"/>
  <c r="GL136" i="1"/>
  <c r="GD136" i="1"/>
  <c r="FV136" i="1"/>
  <c r="GL133" i="1"/>
  <c r="GD133" i="1"/>
  <c r="FV133" i="1"/>
  <c r="GA132" i="1"/>
  <c r="GL131" i="1"/>
  <c r="GD131" i="1"/>
  <c r="FV131" i="1"/>
  <c r="GD130" i="1"/>
  <c r="FV130" i="1"/>
  <c r="GI129" i="1"/>
  <c r="GO127" i="1"/>
  <c r="GP127" i="1" s="1"/>
  <c r="GM127" i="1"/>
  <c r="GN127" i="1" s="1"/>
  <c r="GK127" i="1"/>
  <c r="GL127" i="1" s="1"/>
  <c r="GD127" i="1"/>
  <c r="FV127" i="1"/>
  <c r="GO126" i="1"/>
  <c r="GP126" i="1" s="1"/>
  <c r="GM126" i="1"/>
  <c r="GN126" i="1" s="1"/>
  <c r="GK126" i="1"/>
  <c r="GO125" i="1"/>
  <c r="GP125" i="1" s="1"/>
  <c r="GM125" i="1"/>
  <c r="GN125" i="1" s="1"/>
  <c r="GK125" i="1"/>
  <c r="GD124" i="1"/>
  <c r="FV124" i="1"/>
  <c r="GD123" i="1"/>
  <c r="FV123" i="1"/>
  <c r="FV121" i="1"/>
  <c r="GA120" i="1"/>
  <c r="GK118" i="1"/>
  <c r="GD118" i="1"/>
  <c r="FV118" i="1"/>
  <c r="GK117" i="1"/>
  <c r="GD117" i="1"/>
  <c r="FV117" i="1"/>
  <c r="GK116" i="1"/>
  <c r="GK115" i="1"/>
  <c r="GL115" i="1" s="1"/>
  <c r="GD115" i="1"/>
  <c r="FV115" i="1"/>
  <c r="GD114" i="1"/>
  <c r="GK106" i="1"/>
  <c r="GK105" i="1" s="1"/>
  <c r="GI105" i="1" s="1"/>
  <c r="GO112" i="1"/>
  <c r="GP112" i="1" s="1"/>
  <c r="GM112" i="1"/>
  <c r="GN112" i="1" s="1"/>
  <c r="GK112" i="1"/>
  <c r="GD112" i="1"/>
  <c r="FV112" i="1"/>
  <c r="GO111" i="1"/>
  <c r="GP111" i="1" s="1"/>
  <c r="GM111" i="1"/>
  <c r="GN111" i="1" s="1"/>
  <c r="GK111" i="1"/>
  <c r="GL111" i="1" s="1"/>
  <c r="GD111" i="1"/>
  <c r="FV111" i="1"/>
  <c r="GO110" i="1"/>
  <c r="GP110" i="1" s="1"/>
  <c r="GM110" i="1"/>
  <c r="GN110" i="1" s="1"/>
  <c r="GK110" i="1"/>
  <c r="GL104" i="1"/>
  <c r="GD104" i="1"/>
  <c r="FV104" i="1"/>
  <c r="GD99" i="1"/>
  <c r="FV99" i="1"/>
  <c r="GK98" i="1"/>
  <c r="GL98" i="1" s="1"/>
  <c r="FV98" i="1"/>
  <c r="GL94" i="1"/>
  <c r="GK92" i="1"/>
  <c r="GK36" i="1" s="1"/>
  <c r="GD92" i="1"/>
  <c r="FV92" i="1"/>
  <c r="GO90" i="1"/>
  <c r="GP90" i="1" s="1"/>
  <c r="GM90" i="1"/>
  <c r="GN90" i="1" s="1"/>
  <c r="GK90" i="1"/>
  <c r="GL90" i="1" s="1"/>
  <c r="FV90" i="1"/>
  <c r="GL89" i="1"/>
  <c r="GD89" i="1"/>
  <c r="FV89" i="1"/>
  <c r="GD87" i="1"/>
  <c r="FV87" i="1"/>
  <c r="GD86" i="1"/>
  <c r="FV86" i="1"/>
  <c r="GD85" i="1"/>
  <c r="FV85" i="1"/>
  <c r="GD84" i="1"/>
  <c r="FV84" i="1"/>
  <c r="GD83" i="1"/>
  <c r="FY83" i="1"/>
  <c r="FZ83" i="1" s="1"/>
  <c r="FW83" i="1"/>
  <c r="FX83" i="1" s="1"/>
  <c r="FV83" i="1"/>
  <c r="GD82" i="1"/>
  <c r="FY82" i="1"/>
  <c r="FZ82" i="1" s="1"/>
  <c r="FW82" i="1"/>
  <c r="FX82" i="1" s="1"/>
  <c r="FV82" i="1"/>
  <c r="GA81" i="1"/>
  <c r="GB81" i="1" s="1"/>
  <c r="GD81" i="1"/>
  <c r="FY81" i="1"/>
  <c r="FZ81" i="1" s="1"/>
  <c r="FW81" i="1"/>
  <c r="FX81" i="1" s="1"/>
  <c r="FV81" i="1"/>
  <c r="GD80" i="1"/>
  <c r="FY80" i="1"/>
  <c r="FZ80" i="1" s="1"/>
  <c r="FW80" i="1"/>
  <c r="FX80" i="1" s="1"/>
  <c r="FV80" i="1"/>
  <c r="GD79" i="1"/>
  <c r="FY79" i="1"/>
  <c r="FW79" i="1"/>
  <c r="FV79" i="1"/>
  <c r="FY78" i="1"/>
  <c r="FW78" i="1"/>
  <c r="GD77" i="1"/>
  <c r="FY77" i="1"/>
  <c r="FZ77" i="1" s="1"/>
  <c r="FW77" i="1"/>
  <c r="FX77" i="1" s="1"/>
  <c r="FV77" i="1"/>
  <c r="GD76" i="1"/>
  <c r="FY76" i="1"/>
  <c r="FZ76" i="1" s="1"/>
  <c r="FW76" i="1"/>
  <c r="FV76" i="1"/>
  <c r="GD75" i="1"/>
  <c r="FY75" i="1"/>
  <c r="FZ75" i="1" s="1"/>
  <c r="FW75" i="1"/>
  <c r="FX75" i="1" s="1"/>
  <c r="FV75" i="1"/>
  <c r="GD74" i="1"/>
  <c r="FY74" i="1"/>
  <c r="FZ74" i="1" s="1"/>
  <c r="FW74" i="1"/>
  <c r="FV74" i="1"/>
  <c r="GD73" i="1"/>
  <c r="FY73" i="1"/>
  <c r="FZ73" i="1" s="1"/>
  <c r="FW73" i="1"/>
  <c r="FX73" i="1" s="1"/>
  <c r="FV73" i="1"/>
  <c r="GD72" i="1"/>
  <c r="FY72" i="1"/>
  <c r="FZ72" i="1" s="1"/>
  <c r="FW72" i="1"/>
  <c r="FX72" i="1" s="1"/>
  <c r="FV72" i="1"/>
  <c r="GD71" i="1"/>
  <c r="FY71" i="1"/>
  <c r="FZ71" i="1" s="1"/>
  <c r="FW71" i="1"/>
  <c r="FX71" i="1" s="1"/>
  <c r="FV71" i="1"/>
  <c r="GD70" i="1"/>
  <c r="FY70" i="1"/>
  <c r="FZ70" i="1" s="1"/>
  <c r="FW70" i="1"/>
  <c r="FX70" i="1" s="1"/>
  <c r="FV70" i="1"/>
  <c r="GD68" i="1"/>
  <c r="FV68" i="1"/>
  <c r="GL67" i="1"/>
  <c r="GD67" i="1"/>
  <c r="FV67" i="1"/>
  <c r="GL62" i="1"/>
  <c r="GD62" i="1"/>
  <c r="FV62" i="1"/>
  <c r="GL60" i="1"/>
  <c r="GD60" i="1"/>
  <c r="FV60" i="1"/>
  <c r="GL57" i="1"/>
  <c r="GD57" i="1"/>
  <c r="FV57" i="1"/>
  <c r="GK56" i="1"/>
  <c r="GL56" i="1" s="1"/>
  <c r="GD56" i="1"/>
  <c r="FV56" i="1"/>
  <c r="GK55" i="1"/>
  <c r="GL55" i="1" s="1"/>
  <c r="GD55" i="1"/>
  <c r="FV55" i="1"/>
  <c r="GK54" i="1"/>
  <c r="GD54" i="1"/>
  <c r="FV54" i="1"/>
  <c r="GK53" i="1"/>
  <c r="GL53" i="1" s="1"/>
  <c r="GD53" i="1"/>
  <c r="FV53" i="1"/>
  <c r="GK52" i="1"/>
  <c r="GD52" i="1"/>
  <c r="FV52" i="1"/>
  <c r="GD48" i="1"/>
  <c r="FV48" i="1"/>
  <c r="GD47" i="1"/>
  <c r="FV47" i="1"/>
  <c r="GM36" i="1"/>
  <c r="GM35" i="1"/>
  <c r="GM33" i="1"/>
  <c r="GM209" i="1" s="1"/>
  <c r="GM357" i="1" s="1"/>
  <c r="GM27" i="1" s="1"/>
  <c r="GM12" i="1" s="1"/>
  <c r="FY209" i="1"/>
  <c r="FY357" i="1" s="1"/>
  <c r="FW209" i="1"/>
  <c r="FW357" i="1" s="1"/>
  <c r="FW27" i="1" s="1"/>
  <c r="GM32" i="1"/>
  <c r="FU12" i="1"/>
  <c r="GN9" i="1"/>
  <c r="GF9" i="1"/>
  <c r="FX9" i="1"/>
  <c r="GA20" i="1"/>
  <c r="GI20" i="1"/>
  <c r="GI21" i="1"/>
  <c r="GM23" i="1"/>
  <c r="GK23" i="1"/>
  <c r="GM22" i="1"/>
  <c r="GK22" i="1"/>
  <c r="GK19" i="1"/>
  <c r="GI19" i="1" s="1"/>
  <c r="GM16" i="1"/>
  <c r="GK16" i="1"/>
  <c r="GM15" i="1"/>
  <c r="GK15" i="1"/>
  <c r="GC22" i="1"/>
  <c r="GC16" i="1"/>
  <c r="FY23" i="1"/>
  <c r="FY22" i="1"/>
  <c r="FY16" i="1"/>
  <c r="FY15" i="1"/>
  <c r="FW23" i="1"/>
  <c r="FW22" i="1"/>
  <c r="FW16" i="1"/>
  <c r="FW15" i="1"/>
  <c r="FU16" i="1"/>
  <c r="FU15" i="1"/>
  <c r="FU11" i="1"/>
  <c r="FW214" i="1" l="1"/>
  <c r="FY214" i="1"/>
  <c r="FZ154" i="1"/>
  <c r="FY152" i="1"/>
  <c r="GN181" i="1"/>
  <c r="GM214" i="1"/>
  <c r="GI214" i="1" s="1"/>
  <c r="GJ222" i="1"/>
  <c r="FT222" i="1"/>
  <c r="FV249" i="1"/>
  <c r="GL249" i="1"/>
  <c r="FT254" i="1"/>
  <c r="GJ254" i="1"/>
  <c r="FZ287" i="1"/>
  <c r="GP287" i="1"/>
  <c r="GD20" i="1"/>
  <c r="FV20" i="1"/>
  <c r="GH154" i="1"/>
  <c r="GG152" i="1"/>
  <c r="FS214" i="1"/>
  <c r="FD247" i="1"/>
  <c r="FD245" i="1"/>
  <c r="GC247" i="1"/>
  <c r="GC245" i="1"/>
  <c r="GG286" i="1"/>
  <c r="FZ140" i="1"/>
  <c r="FY138" i="1"/>
  <c r="GK33" i="1"/>
  <c r="GK209" i="1" s="1"/>
  <c r="GI37" i="1"/>
  <c r="FZ143" i="1"/>
  <c r="FY142" i="1"/>
  <c r="GA293" i="1"/>
  <c r="GH143" i="1"/>
  <c r="GG142" i="1"/>
  <c r="FS192" i="1"/>
  <c r="GI161" i="1"/>
  <c r="GJ161" i="1" s="1"/>
  <c r="GA205" i="1"/>
  <c r="GB205" i="1" s="1"/>
  <c r="FS195" i="1"/>
  <c r="FT195" i="1" s="1"/>
  <c r="FS138" i="1"/>
  <c r="GA203" i="1"/>
  <c r="GA153" i="1"/>
  <c r="GI186" i="1"/>
  <c r="GA184" i="1"/>
  <c r="GA195" i="1"/>
  <c r="GB195" i="1" s="1"/>
  <c r="FS160" i="1"/>
  <c r="FT160" i="1" s="1"/>
  <c r="FS200" i="1"/>
  <c r="GM208" i="1"/>
  <c r="GM356" i="1" s="1"/>
  <c r="GI194" i="1"/>
  <c r="FS174" i="1"/>
  <c r="FS203" i="1"/>
  <c r="GK190" i="1"/>
  <c r="GK189" i="1" s="1"/>
  <c r="GK18" i="1" s="1"/>
  <c r="GK17" i="1" s="1"/>
  <c r="GI17" i="1" s="1"/>
  <c r="GH199" i="1"/>
  <c r="FS185" i="1"/>
  <c r="GH157" i="1"/>
  <c r="GA177" i="1"/>
  <c r="GI201" i="1"/>
  <c r="FS194" i="1"/>
  <c r="FW208" i="1"/>
  <c r="FW356" i="1" s="1"/>
  <c r="GA178" i="1"/>
  <c r="GA181" i="1"/>
  <c r="GA188" i="1"/>
  <c r="GA196" i="1"/>
  <c r="GB196" i="1" s="1"/>
  <c r="GA201" i="1"/>
  <c r="GC105" i="1"/>
  <c r="GA105" i="1" s="1"/>
  <c r="FC21" i="1"/>
  <c r="FT21" i="1" s="1"/>
  <c r="FS156" i="1"/>
  <c r="FS168" i="1"/>
  <c r="FS172" i="1"/>
  <c r="FS197" i="1"/>
  <c r="FS179" i="1"/>
  <c r="FS198" i="1"/>
  <c r="GI170" i="1"/>
  <c r="GA269" i="1"/>
  <c r="GA182" i="1"/>
  <c r="GA186" i="1"/>
  <c r="GI197" i="1"/>
  <c r="FY17" i="1"/>
  <c r="GL20" i="1"/>
  <c r="FS164" i="1"/>
  <c r="FS177" i="1"/>
  <c r="FS188" i="1"/>
  <c r="FS196" i="1"/>
  <c r="FT196" i="1" s="1"/>
  <c r="FS202" i="1"/>
  <c r="FT202" i="1" s="1"/>
  <c r="FS130" i="1"/>
  <c r="GI130" i="1"/>
  <c r="GL186" i="1"/>
  <c r="FW207" i="1"/>
  <c r="GA197" i="1"/>
  <c r="GH21" i="1"/>
  <c r="GA192" i="1"/>
  <c r="GI23" i="1"/>
  <c r="FZ21" i="1"/>
  <c r="GP19" i="1"/>
  <c r="FS182" i="1"/>
  <c r="FS199" i="1"/>
  <c r="FS205" i="1"/>
  <c r="FT205" i="1" s="1"/>
  <c r="FS193" i="1"/>
  <c r="GL201" i="1"/>
  <c r="GI155" i="1"/>
  <c r="GA174" i="1"/>
  <c r="GA287" i="1"/>
  <c r="FS154" i="1"/>
  <c r="FS161" i="1"/>
  <c r="FT161" i="1" s="1"/>
  <c r="FS169" i="1"/>
  <c r="FS176" i="1"/>
  <c r="FS180" i="1"/>
  <c r="FS186" i="1"/>
  <c r="GI133" i="1"/>
  <c r="FS136" i="1"/>
  <c r="FS150" i="1"/>
  <c r="GA155" i="1"/>
  <c r="GA161" i="1"/>
  <c r="GB161" i="1" s="1"/>
  <c r="GA163" i="1"/>
  <c r="FS166" i="1"/>
  <c r="GA173" i="1"/>
  <c r="GP174" i="1"/>
  <c r="GM207" i="1"/>
  <c r="GM355" i="1" s="1"/>
  <c r="FS190" i="1"/>
  <c r="FC20" i="1"/>
  <c r="FT20" i="1" s="1"/>
  <c r="GL92" i="1"/>
  <c r="GK91" i="1"/>
  <c r="GI91" i="1" s="1"/>
  <c r="FW17" i="1"/>
  <c r="FS159" i="1"/>
  <c r="FS167" i="1"/>
  <c r="FS173" i="1"/>
  <c r="FS178" i="1"/>
  <c r="FS184" i="1"/>
  <c r="FS189" i="1"/>
  <c r="GI107" i="1"/>
  <c r="FS123" i="1"/>
  <c r="FS191" i="1"/>
  <c r="GH19" i="1"/>
  <c r="FS22" i="1"/>
  <c r="FW29" i="1"/>
  <c r="FW87" i="1"/>
  <c r="FX87" i="1" s="1"/>
  <c r="GL387" i="1"/>
  <c r="FV387" i="1"/>
  <c r="FS152" i="1"/>
  <c r="FS16" i="1"/>
  <c r="GC191" i="1"/>
  <c r="GC190" i="1" s="1"/>
  <c r="GO31" i="1"/>
  <c r="GI112" i="1"/>
  <c r="GJ112" i="1" s="1"/>
  <c r="GA362" i="1"/>
  <c r="FS117" i="1"/>
  <c r="GA349" i="1"/>
  <c r="FY27" i="1"/>
  <c r="FY12" i="1" s="1"/>
  <c r="FY86" i="1"/>
  <c r="FZ86" i="1" s="1"/>
  <c r="FS23" i="1"/>
  <c r="FS74" i="1"/>
  <c r="FT74" i="1" s="1"/>
  <c r="GH287" i="1"/>
  <c r="FS357" i="1"/>
  <c r="FW86" i="1"/>
  <c r="FX86" i="1" s="1"/>
  <c r="FS171" i="1"/>
  <c r="FT171" i="1" s="1"/>
  <c r="FS175" i="1"/>
  <c r="FS183" i="1"/>
  <c r="FS187" i="1"/>
  <c r="FS206" i="1"/>
  <c r="GI174" i="1"/>
  <c r="GI182" i="1"/>
  <c r="GI203" i="1"/>
  <c r="GI205" i="1"/>
  <c r="GJ205" i="1" s="1"/>
  <c r="GI178" i="1"/>
  <c r="FS181" i="1"/>
  <c r="FS204" i="1"/>
  <c r="FZ197" i="1"/>
  <c r="FS170" i="1"/>
  <c r="FS201" i="1"/>
  <c r="FS209" i="1"/>
  <c r="GI199" i="1"/>
  <c r="GI209" i="1"/>
  <c r="FS32" i="1"/>
  <c r="FS78" i="1"/>
  <c r="FS82" i="1"/>
  <c r="FT82" i="1" s="1"/>
  <c r="FS72" i="1"/>
  <c r="FT72" i="1" s="1"/>
  <c r="FS15" i="1"/>
  <c r="GI151" i="1"/>
  <c r="GL151" i="1"/>
  <c r="GB388" i="1"/>
  <c r="GK35" i="1"/>
  <c r="GI124" i="1"/>
  <c r="FS125" i="1"/>
  <c r="GC23" i="1"/>
  <c r="GA23" i="1" s="1"/>
  <c r="GA348" i="1"/>
  <c r="GB222" i="1"/>
  <c r="FS33" i="1"/>
  <c r="GI65" i="1"/>
  <c r="GD224" i="1"/>
  <c r="GC33" i="1"/>
  <c r="GC32" i="1"/>
  <c r="GB389" i="1"/>
  <c r="GB390" i="1"/>
  <c r="FS140" i="1"/>
  <c r="GA151" i="1"/>
  <c r="GD387" i="1"/>
  <c r="GC44" i="1"/>
  <c r="GA44" i="1" s="1"/>
  <c r="GA19" i="1"/>
  <c r="GE361" i="1"/>
  <c r="GE286" i="1"/>
  <c r="GA45" i="1"/>
  <c r="GA87" i="1"/>
  <c r="GB87" i="1" s="1"/>
  <c r="GD249" i="1"/>
  <c r="GA249" i="1"/>
  <c r="GI145" i="1"/>
  <c r="GA387" i="1"/>
  <c r="GA91" i="1"/>
  <c r="GA75" i="1"/>
  <c r="GB75" i="1" s="1"/>
  <c r="GA54" i="1"/>
  <c r="GA83" i="1"/>
  <c r="GB83" i="1" s="1"/>
  <c r="GC35" i="1"/>
  <c r="FS80" i="1"/>
  <c r="GA73" i="1"/>
  <c r="GB73" i="1" s="1"/>
  <c r="GA79" i="1"/>
  <c r="GI132" i="1"/>
  <c r="GA133" i="1"/>
  <c r="GI139" i="1"/>
  <c r="GA159" i="1"/>
  <c r="GI160" i="1"/>
  <c r="GJ160" i="1" s="1"/>
  <c r="GI163" i="1"/>
  <c r="GI166" i="1"/>
  <c r="FS70" i="1"/>
  <c r="FT70" i="1" s="1"/>
  <c r="FS124" i="1"/>
  <c r="FS132" i="1"/>
  <c r="FS139" i="1"/>
  <c r="FS158" i="1"/>
  <c r="FS162" i="1"/>
  <c r="GA61" i="1"/>
  <c r="FX74" i="1"/>
  <c r="GA97" i="1"/>
  <c r="GA116" i="1"/>
  <c r="GL124" i="1"/>
  <c r="GL130" i="1"/>
  <c r="GI153" i="1"/>
  <c r="FS63" i="1"/>
  <c r="FS121" i="1"/>
  <c r="FS127" i="1"/>
  <c r="FT127" i="1" s="1"/>
  <c r="FS145" i="1"/>
  <c r="FS155" i="1"/>
  <c r="GA47" i="1"/>
  <c r="GA51" i="1"/>
  <c r="GA63" i="1"/>
  <c r="GA77" i="1"/>
  <c r="GB77" i="1" s="1"/>
  <c r="FS98" i="1"/>
  <c r="FT98" i="1" s="1"/>
  <c r="GA99" i="1"/>
  <c r="GI116" i="1"/>
  <c r="GA124" i="1"/>
  <c r="GA127" i="1"/>
  <c r="GB127" i="1" s="1"/>
  <c r="GI131" i="1"/>
  <c r="GI88" i="1"/>
  <c r="FS143" i="1"/>
  <c r="GA141" i="1"/>
  <c r="GB141" i="1" s="1"/>
  <c r="GI15" i="1"/>
  <c r="FS148" i="1"/>
  <c r="GI141" i="1"/>
  <c r="GJ141" i="1" s="1"/>
  <c r="GA149" i="1"/>
  <c r="GA145" i="1"/>
  <c r="GA147" i="1"/>
  <c r="GI147" i="1"/>
  <c r="GI149" i="1"/>
  <c r="FS90" i="1"/>
  <c r="FT90" i="1" s="1"/>
  <c r="FS146" i="1"/>
  <c r="GI143" i="1"/>
  <c r="FS144" i="1"/>
  <c r="GI120" i="1"/>
  <c r="FS111" i="1"/>
  <c r="GL47" i="1"/>
  <c r="GI56" i="1"/>
  <c r="GJ56" i="1" s="1"/>
  <c r="GL99" i="1"/>
  <c r="FS54" i="1"/>
  <c r="GA52" i="1"/>
  <c r="GB52" i="1" s="1"/>
  <c r="GA107" i="1"/>
  <c r="GL112" i="1"/>
  <c r="GA114" i="1"/>
  <c r="FS106" i="1"/>
  <c r="GI98" i="1"/>
  <c r="GJ98" i="1" s="1"/>
  <c r="GA112" i="1"/>
  <c r="GB112" i="1" s="1"/>
  <c r="GL114" i="1"/>
  <c r="GA22" i="1"/>
  <c r="GA59" i="1"/>
  <c r="FS64" i="1"/>
  <c r="GA16" i="1"/>
  <c r="GA68" i="1"/>
  <c r="FS36" i="1"/>
  <c r="FS53" i="1"/>
  <c r="GI16" i="1"/>
  <c r="GA15" i="1"/>
  <c r="GI22" i="1"/>
  <c r="GI64" i="1"/>
  <c r="GL52" i="1"/>
  <c r="GI52" i="1"/>
  <c r="GJ52" i="1" s="1"/>
  <c r="GI68" i="1"/>
  <c r="GL68" i="1"/>
  <c r="FX76" i="1"/>
  <c r="FS76" i="1"/>
  <c r="FT76" i="1" s="1"/>
  <c r="FS92" i="1"/>
  <c r="GL117" i="1"/>
  <c r="GI117" i="1"/>
  <c r="FZ157" i="1"/>
  <c r="FS157" i="1"/>
  <c r="FS48" i="1"/>
  <c r="FS55" i="1"/>
  <c r="FT55" i="1" s="1"/>
  <c r="FS62" i="1"/>
  <c r="FS88" i="1"/>
  <c r="FS115" i="1"/>
  <c r="FT115" i="1" s="1"/>
  <c r="GL48" i="1"/>
  <c r="GA56" i="1"/>
  <c r="GB56" i="1" s="1"/>
  <c r="GA71" i="1"/>
  <c r="GB71" i="1" s="1"/>
  <c r="GA110" i="1"/>
  <c r="GI126" i="1"/>
  <c r="GA129" i="1"/>
  <c r="FS35" i="1"/>
  <c r="GI61" i="1"/>
  <c r="GA65" i="1"/>
  <c r="GA119" i="1"/>
  <c r="FZ141" i="1"/>
  <c r="FS141" i="1"/>
  <c r="FT141" i="1" s="1"/>
  <c r="GI54" i="1"/>
  <c r="GI125" i="1"/>
  <c r="GI136" i="1"/>
  <c r="GA143" i="1"/>
  <c r="GI150" i="1"/>
  <c r="GI63" i="1"/>
  <c r="GI118" i="1"/>
  <c r="GJ118" i="1" s="1"/>
  <c r="GL118" i="1"/>
  <c r="GI142" i="1"/>
  <c r="GI89" i="1"/>
  <c r="GI110" i="1"/>
  <c r="GA123" i="1"/>
  <c r="GL123" i="1"/>
  <c r="GI123" i="1"/>
  <c r="GI122" i="1"/>
  <c r="GA126" i="1"/>
  <c r="GA136" i="1"/>
  <c r="GI138" i="1"/>
  <c r="GA150" i="1"/>
  <c r="GI152" i="1"/>
  <c r="GI156" i="1"/>
  <c r="GN183" i="1"/>
  <c r="GI183" i="1"/>
  <c r="GH185" i="1"/>
  <c r="GA185" i="1"/>
  <c r="GI204" i="1"/>
  <c r="FS52" i="1"/>
  <c r="FT52" i="1" s="1"/>
  <c r="FS56" i="1"/>
  <c r="FT56" i="1" s="1"/>
  <c r="FS61" i="1"/>
  <c r="FS65" i="1"/>
  <c r="FS71" i="1"/>
  <c r="FT71" i="1" s="1"/>
  <c r="FS75" i="1"/>
  <c r="FT75" i="1" s="1"/>
  <c r="FS79" i="1"/>
  <c r="FS83" i="1"/>
  <c r="FT83" i="1" s="1"/>
  <c r="FS91" i="1"/>
  <c r="FS107" i="1"/>
  <c r="FS112" i="1"/>
  <c r="FT112" i="1" s="1"/>
  <c r="FS116" i="1"/>
  <c r="FS120" i="1"/>
  <c r="FS119" i="1" s="1"/>
  <c r="FS129" i="1"/>
  <c r="FS133" i="1"/>
  <c r="FS149" i="1"/>
  <c r="FS153" i="1"/>
  <c r="FS165" i="1"/>
  <c r="GA48" i="1"/>
  <c r="GI53" i="1"/>
  <c r="GL54" i="1"/>
  <c r="GI55" i="1"/>
  <c r="GJ55" i="1" s="1"/>
  <c r="GI62" i="1"/>
  <c r="GA67" i="1"/>
  <c r="GA78" i="1"/>
  <c r="GI92" i="1"/>
  <c r="GA104" i="1"/>
  <c r="GI106" i="1"/>
  <c r="GA115" i="1"/>
  <c r="GB115" i="1" s="1"/>
  <c r="GI127" i="1"/>
  <c r="GJ127" i="1" s="1"/>
  <c r="GA131" i="1"/>
  <c r="GI144" i="1"/>
  <c r="GI148" i="1"/>
  <c r="GI158" i="1"/>
  <c r="GA160" i="1"/>
  <c r="GB160" i="1" s="1"/>
  <c r="GI162" i="1"/>
  <c r="GN175" i="1"/>
  <c r="GI175" i="1"/>
  <c r="GA179" i="1"/>
  <c r="GI191" i="1"/>
  <c r="GA193" i="1"/>
  <c r="GA74" i="1"/>
  <c r="GB74" i="1" s="1"/>
  <c r="GA80" i="1"/>
  <c r="GA96" i="1"/>
  <c r="GA111" i="1"/>
  <c r="GA53" i="1"/>
  <c r="GA57" i="1"/>
  <c r="GA62" i="1"/>
  <c r="GA72" i="1"/>
  <c r="GB72" i="1" s="1"/>
  <c r="GA82" i="1"/>
  <c r="GB82" i="1" s="1"/>
  <c r="GA88" i="1"/>
  <c r="GI90" i="1"/>
  <c r="GJ90" i="1" s="1"/>
  <c r="GI111" i="1"/>
  <c r="GA118" i="1"/>
  <c r="GB118" i="1" s="1"/>
  <c r="GI140" i="1"/>
  <c r="GI154" i="1"/>
  <c r="GI167" i="1"/>
  <c r="GA171" i="1"/>
  <c r="GB171" i="1" s="1"/>
  <c r="GP198" i="1"/>
  <c r="GI198" i="1"/>
  <c r="FS73" i="1"/>
  <c r="FT73" i="1" s="1"/>
  <c r="FS77" i="1"/>
  <c r="FT77" i="1" s="1"/>
  <c r="FS81" i="1"/>
  <c r="FT81" i="1" s="1"/>
  <c r="FS89" i="1"/>
  <c r="FS105" i="1"/>
  <c r="FS110" i="1"/>
  <c r="FS118" i="1"/>
  <c r="FT118" i="1" s="1"/>
  <c r="FS122" i="1"/>
  <c r="FS126" i="1"/>
  <c r="FS131" i="1"/>
  <c r="FS147" i="1"/>
  <c r="FS151" i="1"/>
  <c r="FS163" i="1"/>
  <c r="GA36" i="1"/>
  <c r="GA55" i="1"/>
  <c r="GB55" i="1" s="1"/>
  <c r="GA60" i="1"/>
  <c r="GA64" i="1"/>
  <c r="GA70" i="1"/>
  <c r="GB70" i="1" s="1"/>
  <c r="GA76" i="1"/>
  <c r="GB76" i="1" s="1"/>
  <c r="GA92" i="1"/>
  <c r="GA106" i="1"/>
  <c r="GA113" i="1"/>
  <c r="GI115" i="1"/>
  <c r="GJ115" i="1" s="1"/>
  <c r="GI119" i="1"/>
  <c r="GA122" i="1"/>
  <c r="GA144" i="1"/>
  <c r="GI146" i="1"/>
  <c r="GA158" i="1"/>
  <c r="GI164" i="1"/>
  <c r="GA138" i="1"/>
  <c r="GA148" i="1"/>
  <c r="GA154" i="1"/>
  <c r="GA164" i="1"/>
  <c r="GA167" i="1"/>
  <c r="GI171" i="1"/>
  <c r="GJ171" i="1" s="1"/>
  <c r="GA183" i="1"/>
  <c r="GI184" i="1"/>
  <c r="GL184" i="1"/>
  <c r="GA117" i="1"/>
  <c r="GA121" i="1"/>
  <c r="GA125" i="1"/>
  <c r="GA130" i="1"/>
  <c r="GA140" i="1"/>
  <c r="GA146" i="1"/>
  <c r="GA156" i="1"/>
  <c r="GA162" i="1"/>
  <c r="GA165" i="1"/>
  <c r="GH165" i="1"/>
  <c r="GA175" i="1"/>
  <c r="GN179" i="1"/>
  <c r="GI179" i="1"/>
  <c r="GI192" i="1"/>
  <c r="GL196" i="1"/>
  <c r="GI196" i="1"/>
  <c r="GJ196" i="1" s="1"/>
  <c r="GN202" i="1"/>
  <c r="GI202" i="1"/>
  <c r="GJ202" i="1" s="1"/>
  <c r="GL185" i="1"/>
  <c r="GI185" i="1"/>
  <c r="GI195" i="1"/>
  <c r="GJ195" i="1" s="1"/>
  <c r="GL195" i="1"/>
  <c r="GA200" i="1"/>
  <c r="GA202" i="1"/>
  <c r="GB202" i="1" s="1"/>
  <c r="GI206" i="1"/>
  <c r="GI165" i="1"/>
  <c r="GI168" i="1"/>
  <c r="GI169" i="1"/>
  <c r="GI172" i="1"/>
  <c r="GI173" i="1"/>
  <c r="GI176" i="1"/>
  <c r="GI177" i="1"/>
  <c r="GL177" i="1"/>
  <c r="GI180" i="1"/>
  <c r="GI181" i="1"/>
  <c r="GL181" i="1"/>
  <c r="GN187" i="1"/>
  <c r="GI187" i="1"/>
  <c r="GI188" i="1"/>
  <c r="GL188" i="1"/>
  <c r="GL193" i="1"/>
  <c r="GI193" i="1"/>
  <c r="GL200" i="1"/>
  <c r="GI200" i="1"/>
  <c r="GA206" i="1"/>
  <c r="GA204" i="1"/>
  <c r="GA168" i="1"/>
  <c r="GA172" i="1"/>
  <c r="GA176" i="1"/>
  <c r="GA180" i="1"/>
  <c r="GA187" i="1"/>
  <c r="GA198" i="1"/>
  <c r="FW12" i="1"/>
  <c r="FU10" i="1"/>
  <c r="FV245" i="1" l="1"/>
  <c r="GL245" i="1"/>
  <c r="FC247" i="1"/>
  <c r="FV247" i="1"/>
  <c r="GL247" i="1"/>
  <c r="GK357" i="1"/>
  <c r="GK27" i="1" s="1"/>
  <c r="FW85" i="1"/>
  <c r="FX85" i="1" s="1"/>
  <c r="FY137" i="1"/>
  <c r="FY211" i="1" s="1"/>
  <c r="GD245" i="1"/>
  <c r="FC245" i="1"/>
  <c r="GD247" i="1"/>
  <c r="GA247" i="1"/>
  <c r="GB247" i="1" s="1"/>
  <c r="GA245" i="1"/>
  <c r="GC244" i="1"/>
  <c r="GA244" i="1" s="1"/>
  <c r="GI33" i="1"/>
  <c r="FS142" i="1"/>
  <c r="GK31" i="1"/>
  <c r="GI31" i="1" s="1"/>
  <c r="GA142" i="1"/>
  <c r="GM25" i="1"/>
  <c r="GM8" i="1" s="1"/>
  <c r="GM26" i="1"/>
  <c r="GM11" i="1" s="1"/>
  <c r="GM10" i="1" s="1"/>
  <c r="FS17" i="1"/>
  <c r="FW355" i="1"/>
  <c r="GI189" i="1"/>
  <c r="GI18" i="1"/>
  <c r="GI190" i="1"/>
  <c r="GA191" i="1"/>
  <c r="FW26" i="1"/>
  <c r="FS31" i="1"/>
  <c r="GO208" i="1"/>
  <c r="GO356" i="1" s="1"/>
  <c r="GO26" i="1" s="1"/>
  <c r="GO211" i="1"/>
  <c r="GI137" i="1"/>
  <c r="GO207" i="1"/>
  <c r="GO355" i="1" s="1"/>
  <c r="GC209" i="1"/>
  <c r="GC357" i="1" s="1"/>
  <c r="GC27" i="1" s="1"/>
  <c r="FS12" i="1"/>
  <c r="GC189" i="1"/>
  <c r="GC18" i="1" s="1"/>
  <c r="GA190" i="1"/>
  <c r="FS27" i="1"/>
  <c r="FS86" i="1"/>
  <c r="FT86" i="1" s="1"/>
  <c r="GA361" i="1"/>
  <c r="GK32" i="1"/>
  <c r="GI36" i="1"/>
  <c r="GI35" i="1"/>
  <c r="GA33" i="1"/>
  <c r="GG357" i="1"/>
  <c r="GG27" i="1" s="1"/>
  <c r="GG12" i="1" s="1"/>
  <c r="GE357" i="1"/>
  <c r="GE27" i="1" s="1"/>
  <c r="GC291" i="1"/>
  <c r="GA292" i="1"/>
  <c r="GC31" i="1"/>
  <c r="GA35" i="1"/>
  <c r="GI357" i="1" l="1"/>
  <c r="FT247" i="1"/>
  <c r="GJ247" i="1"/>
  <c r="FY207" i="1"/>
  <c r="FY355" i="1" s="1"/>
  <c r="FY25" i="1" s="1"/>
  <c r="FY8" i="1" s="1"/>
  <c r="FY208" i="1"/>
  <c r="FY356" i="1" s="1"/>
  <c r="FY26" i="1" s="1"/>
  <c r="FY11" i="1" s="1"/>
  <c r="FY10" i="1" s="1"/>
  <c r="FS137" i="1"/>
  <c r="FT245" i="1"/>
  <c r="GJ245" i="1"/>
  <c r="GI27" i="1"/>
  <c r="GK12" i="1"/>
  <c r="GI12" i="1" s="1"/>
  <c r="FW84" i="1"/>
  <c r="GB245" i="1"/>
  <c r="GK207" i="1"/>
  <c r="GK355" i="1" s="1"/>
  <c r="FS208" i="1"/>
  <c r="FS207" i="1"/>
  <c r="FY359" i="1"/>
  <c r="FS211" i="1"/>
  <c r="GO25" i="1"/>
  <c r="GO8" i="1" s="1"/>
  <c r="FW25" i="1"/>
  <c r="FW11" i="1"/>
  <c r="GO359" i="1"/>
  <c r="GO29" i="1" s="1"/>
  <c r="GI29" i="1" s="1"/>
  <c r="GI211" i="1"/>
  <c r="GO11" i="1"/>
  <c r="GO10" i="1" s="1"/>
  <c r="GA189" i="1"/>
  <c r="GC208" i="1"/>
  <c r="GC207" i="1"/>
  <c r="GA27" i="1"/>
  <c r="GC12" i="1"/>
  <c r="FX84" i="1"/>
  <c r="GI32" i="1"/>
  <c r="GK208" i="1"/>
  <c r="GK356" i="1" s="1"/>
  <c r="GE12" i="1"/>
  <c r="GA32" i="1"/>
  <c r="GA209" i="1"/>
  <c r="GA357" i="1"/>
  <c r="GA89" i="1"/>
  <c r="GA31" i="1"/>
  <c r="GA291" i="1"/>
  <c r="GC290" i="1"/>
  <c r="FY85" i="1" l="1"/>
  <c r="FZ85" i="1" s="1"/>
  <c r="FS26" i="1"/>
  <c r="FS25" i="1"/>
  <c r="FY84" i="1"/>
  <c r="FZ84" i="1" s="1"/>
  <c r="FS355" i="1"/>
  <c r="FS11" i="1"/>
  <c r="FS356" i="1"/>
  <c r="FS84" i="1"/>
  <c r="FT84" i="1" s="1"/>
  <c r="GI207" i="1"/>
  <c r="GK25" i="1"/>
  <c r="GK8" i="1" s="1"/>
  <c r="FY87" i="1"/>
  <c r="FY29" i="1"/>
  <c r="FS359" i="1"/>
  <c r="FS85" i="1"/>
  <c r="FT85" i="1" s="1"/>
  <c r="FW8" i="1"/>
  <c r="FW10" i="1"/>
  <c r="FS10" i="1" s="1"/>
  <c r="GI359" i="1"/>
  <c r="GC17" i="1"/>
  <c r="GA17" i="1" s="1"/>
  <c r="GA18" i="1"/>
  <c r="GI355" i="1"/>
  <c r="GI25" i="1" s="1"/>
  <c r="GI208" i="1"/>
  <c r="GA12" i="1"/>
  <c r="GE356" i="1"/>
  <c r="GE26" i="1" s="1"/>
  <c r="GE11" i="1" s="1"/>
  <c r="GE10" i="1" s="1"/>
  <c r="GA86" i="1"/>
  <c r="GB86" i="1" s="1"/>
  <c r="GE355" i="1"/>
  <c r="GE25" i="1" s="1"/>
  <c r="GE8" i="1" s="1"/>
  <c r="GC354" i="1"/>
  <c r="GA290" i="1"/>
  <c r="DJ396" i="1"/>
  <c r="DG396" i="1"/>
  <c r="IA395" i="1"/>
  <c r="HW395" i="1"/>
  <c r="HS395" i="1"/>
  <c r="HO395" i="1"/>
  <c r="HK395" i="1"/>
  <c r="HG395" i="1"/>
  <c r="GU395" i="1"/>
  <c r="FO395" i="1"/>
  <c r="FK395" i="1"/>
  <c r="FG395" i="1"/>
  <c r="FC395" i="1"/>
  <c r="FB395" i="1"/>
  <c r="FA395" i="1"/>
  <c r="EZ395" i="1"/>
  <c r="EY395" i="1"/>
  <c r="EX395" i="1"/>
  <c r="ES395" i="1"/>
  <c r="EO395" i="1"/>
  <c r="EK395" i="1"/>
  <c r="EG395" i="1"/>
  <c r="EF395" i="1"/>
  <c r="EE395" i="1"/>
  <c r="ED395" i="1"/>
  <c r="EC395" i="1"/>
  <c r="EB395" i="1"/>
  <c r="EA395" i="1"/>
  <c r="DZ395" i="1"/>
  <c r="DY395" i="1"/>
  <c r="DW395" i="1"/>
  <c r="DV395" i="1"/>
  <c r="DT395" i="1"/>
  <c r="DS395" i="1"/>
  <c r="DR395" i="1"/>
  <c r="DQ395" i="1"/>
  <c r="DP395" i="1"/>
  <c r="DO395" i="1"/>
  <c r="DN395" i="1"/>
  <c r="DM395" i="1"/>
  <c r="DL395" i="1"/>
  <c r="DK395" i="1"/>
  <c r="DJ395" i="1"/>
  <c r="DH395" i="1"/>
  <c r="DG395" i="1"/>
  <c r="DE395" i="1"/>
  <c r="DD395" i="1"/>
  <c r="DC395" i="1"/>
  <c r="DB395" i="1"/>
  <c r="DA395" i="1"/>
  <c r="CY395" i="1"/>
  <c r="CX395" i="1"/>
  <c r="CV395" i="1"/>
  <c r="CU395" i="1"/>
  <c r="CS395" i="1"/>
  <c r="CR395" i="1"/>
  <c r="CL395" i="1"/>
  <c r="CJ395" i="1"/>
  <c r="CI395" i="1"/>
  <c r="CF395" i="1"/>
  <c r="CD395" i="1"/>
  <c r="CC395" i="1"/>
  <c r="BZ395" i="1"/>
  <c r="BX395" i="1"/>
  <c r="BW395" i="1"/>
  <c r="BL395" i="1"/>
  <c r="BJ395" i="1"/>
  <c r="BI395" i="1"/>
  <c r="BF395" i="1"/>
  <c r="BD395" i="1"/>
  <c r="BC395" i="1"/>
  <c r="BA395" i="1"/>
  <c r="AZ395" i="1"/>
  <c r="AW395" i="1"/>
  <c r="AU395" i="1"/>
  <c r="AT395" i="1"/>
  <c r="AJ395" i="1"/>
  <c r="AI395" i="1"/>
  <c r="AH395" i="1"/>
  <c r="AG395" i="1"/>
  <c r="AE395" i="1"/>
  <c r="AD395" i="1"/>
  <c r="AB395" i="1"/>
  <c r="AA395" i="1"/>
  <c r="X395" i="1"/>
  <c r="V395" i="1"/>
  <c r="U395" i="1"/>
  <c r="R395" i="1"/>
  <c r="O395" i="1"/>
  <c r="L395" i="1"/>
  <c r="I395" i="1"/>
  <c r="G395" i="1"/>
  <c r="F395" i="1"/>
  <c r="ES391" i="1"/>
  <c r="EG391" i="1"/>
  <c r="DI391" i="1"/>
  <c r="DG391" i="1"/>
  <c r="DF391" i="1" s="1"/>
  <c r="CW391" i="1"/>
  <c r="DY390" i="1"/>
  <c r="DX390" i="1" s="1"/>
  <c r="CT390" i="1"/>
  <c r="CR390" i="1"/>
  <c r="CQ390" i="1" s="1"/>
  <c r="CM390" i="1"/>
  <c r="CB390" i="1"/>
  <c r="CA390" i="1"/>
  <c r="BZ390" i="1"/>
  <c r="BV390" i="1"/>
  <c r="BI390" i="1"/>
  <c r="BH390" i="1" s="1"/>
  <c r="BG390" i="1"/>
  <c r="BF390" i="1"/>
  <c r="BB390" i="1"/>
  <c r="AX390" i="1"/>
  <c r="AT390" i="1"/>
  <c r="AG390" i="1"/>
  <c r="AF390" i="1" s="1"/>
  <c r="AL390" i="1" s="1"/>
  <c r="AD390" i="1"/>
  <c r="AC390" i="1" s="1"/>
  <c r="AA390" i="1"/>
  <c r="Z390" i="1" s="1"/>
  <c r="AK390" i="1" s="1"/>
  <c r="Y390" i="1"/>
  <c r="T390" i="1"/>
  <c r="S390" i="1"/>
  <c r="Q390" i="1" s="1"/>
  <c r="O390" i="1"/>
  <c r="M390" i="1"/>
  <c r="I390" i="1"/>
  <c r="E390" i="1"/>
  <c r="DY388" i="1"/>
  <c r="DX388" i="1" s="1"/>
  <c r="CW388" i="1"/>
  <c r="CT388" i="1"/>
  <c r="CR388" i="1"/>
  <c r="CQ388" i="1" s="1"/>
  <c r="CM388" i="1"/>
  <c r="CB388" i="1"/>
  <c r="CA388" i="1"/>
  <c r="BZ388" i="1"/>
  <c r="BV388" i="1"/>
  <c r="BI388" i="1"/>
  <c r="BH388" i="1" s="1"/>
  <c r="BG388" i="1"/>
  <c r="BF388" i="1"/>
  <c r="BB388" i="1"/>
  <c r="AX388" i="1"/>
  <c r="AT388" i="1"/>
  <c r="AG388" i="1"/>
  <c r="AF388" i="1" s="1"/>
  <c r="AL388" i="1" s="1"/>
  <c r="AD388" i="1"/>
  <c r="AC388" i="1" s="1"/>
  <c r="AA388" i="1"/>
  <c r="Y388" i="1"/>
  <c r="T388" i="1"/>
  <c r="S388" i="1"/>
  <c r="R388" i="1"/>
  <c r="M388" i="1"/>
  <c r="L388" i="1"/>
  <c r="E388" i="1"/>
  <c r="HW387" i="1"/>
  <c r="HW15" i="1" s="1"/>
  <c r="HH387" i="1"/>
  <c r="HH15" i="1" s="1"/>
  <c r="FK387" i="1"/>
  <c r="FK15" i="1" s="1"/>
  <c r="FH387" i="1"/>
  <c r="FG387" i="1" s="1"/>
  <c r="FG15" i="1" s="1"/>
  <c r="FP387" i="1"/>
  <c r="FO387" i="1" s="1"/>
  <c r="FO15" i="1" s="1"/>
  <c r="EY387" i="1"/>
  <c r="EY15" i="1" s="1"/>
  <c r="EX387" i="1"/>
  <c r="EX15" i="1" s="1"/>
  <c r="ES387" i="1"/>
  <c r="ES15" i="1" s="1"/>
  <c r="EO387" i="1"/>
  <c r="EO15" i="1" s="1"/>
  <c r="DZ387" i="1"/>
  <c r="DY387" i="1"/>
  <c r="DY15" i="1" s="1"/>
  <c r="DV387" i="1"/>
  <c r="EH387" i="1" s="1"/>
  <c r="EH15" i="1" s="1"/>
  <c r="DP387" i="1"/>
  <c r="DP15" i="1" s="1"/>
  <c r="DO15" i="1" s="1"/>
  <c r="DL387" i="1"/>
  <c r="DJ387" i="1"/>
  <c r="DG387" i="1" s="1"/>
  <c r="DF387" i="1" s="1"/>
  <c r="DB387" i="1"/>
  <c r="DA387" i="1"/>
  <c r="DA15" i="1" s="1"/>
  <c r="CZ15" i="1" s="1"/>
  <c r="CW387" i="1"/>
  <c r="CV387" i="1"/>
  <c r="CV15" i="1" s="1"/>
  <c r="CS387" i="1"/>
  <c r="CS15" i="1" s="1"/>
  <c r="CR387" i="1"/>
  <c r="CR15" i="1" s="1"/>
  <c r="CP387" i="1"/>
  <c r="CN387" i="1" s="1"/>
  <c r="CN15" i="1" s="1"/>
  <c r="CJ387" i="1"/>
  <c r="CJ15" i="1" s="1"/>
  <c r="CI387" i="1"/>
  <c r="CF387" i="1"/>
  <c r="CF15" i="1" s="1"/>
  <c r="CD387" i="1"/>
  <c r="CD15" i="1" s="1"/>
  <c r="CC387" i="1"/>
  <c r="CC15" i="1" s="1"/>
  <c r="BX387" i="1"/>
  <c r="BV387" i="1" s="1"/>
  <c r="BV15" i="1" s="1"/>
  <c r="BU387" i="1"/>
  <c r="BS387" i="1" s="1"/>
  <c r="BS15" i="1" s="1"/>
  <c r="BR387" i="1"/>
  <c r="BP387" i="1" s="1"/>
  <c r="BP15" i="1" s="1"/>
  <c r="BO387" i="1"/>
  <c r="BO15" i="1" s="1"/>
  <c r="BN387" i="1"/>
  <c r="BN15" i="1" s="1"/>
  <c r="BJ387" i="1"/>
  <c r="BH387" i="1" s="1"/>
  <c r="BH15" i="1" s="1"/>
  <c r="BD387" i="1"/>
  <c r="BD15" i="1" s="1"/>
  <c r="BC387" i="1"/>
  <c r="BC15" i="1" s="1"/>
  <c r="BA387" i="1"/>
  <c r="BA15" i="1" s="1"/>
  <c r="AU387" i="1"/>
  <c r="AT387" i="1"/>
  <c r="AT15" i="1" s="1"/>
  <c r="AH387" i="1"/>
  <c r="AH15" i="1" s="1"/>
  <c r="AE387" i="1"/>
  <c r="AC387" i="1" s="1"/>
  <c r="AC15" i="1" s="1"/>
  <c r="AB387" i="1"/>
  <c r="AB15" i="1" s="1"/>
  <c r="V387" i="1"/>
  <c r="U387" i="1"/>
  <c r="R387" i="1"/>
  <c r="G387" i="1"/>
  <c r="F387" i="1"/>
  <c r="FO385" i="1"/>
  <c r="FC385" i="1"/>
  <c r="ET385" i="1"/>
  <c r="ES385" i="1" s="1"/>
  <c r="EG385" i="1"/>
  <c r="IB383" i="1"/>
  <c r="IA383" i="1" s="1"/>
  <c r="HW383" i="1"/>
  <c r="HS383" i="1"/>
  <c r="HO383" i="1"/>
  <c r="HL383" i="1"/>
  <c r="HK383" i="1" s="1"/>
  <c r="GU383" i="1"/>
  <c r="FP383" i="1"/>
  <c r="FC383" i="1"/>
  <c r="EG383" i="1"/>
  <c r="IB382" i="1"/>
  <c r="HS382" i="1"/>
  <c r="HO382" i="1"/>
  <c r="HL382" i="1"/>
  <c r="HK382" i="1" s="1"/>
  <c r="GU382" i="1"/>
  <c r="FP382" i="1"/>
  <c r="FC382" i="1"/>
  <c r="EG382" i="1"/>
  <c r="IB381" i="1"/>
  <c r="HX381" i="1" s="1"/>
  <c r="HW381" i="1" s="1"/>
  <c r="HS381" i="1"/>
  <c r="HO381" i="1"/>
  <c r="HL381" i="1"/>
  <c r="HK381" i="1" s="1"/>
  <c r="GU381" i="1"/>
  <c r="FO381" i="1"/>
  <c r="FH381" i="1"/>
  <c r="FG381" i="1" s="1"/>
  <c r="FC381" i="1"/>
  <c r="EG381" i="1"/>
  <c r="IB380" i="1"/>
  <c r="HS380" i="1"/>
  <c r="HO380" i="1"/>
  <c r="HL380" i="1"/>
  <c r="GU380" i="1"/>
  <c r="FP380" i="1"/>
  <c r="FH380" i="1" s="1"/>
  <c r="FG380" i="1" s="1"/>
  <c r="FC380" i="1"/>
  <c r="EG380" i="1"/>
  <c r="IA379" i="1"/>
  <c r="HX379" i="1"/>
  <c r="HW379" i="1"/>
  <c r="HS379" i="1"/>
  <c r="HO379" i="1"/>
  <c r="HL379" i="1"/>
  <c r="HK379" i="1" s="1"/>
  <c r="HH379" i="1"/>
  <c r="HG379" i="1"/>
  <c r="GU379" i="1"/>
  <c r="FP379" i="1"/>
  <c r="FC379" i="1"/>
  <c r="GB379" i="1" s="1"/>
  <c r="EG379" i="1"/>
  <c r="HO378" i="1"/>
  <c r="HH378" i="1"/>
  <c r="GU378" i="1"/>
  <c r="FO378" i="1"/>
  <c r="FH378" i="1"/>
  <c r="FG378" i="1" s="1"/>
  <c r="FC378" i="1"/>
  <c r="HT377" i="1"/>
  <c r="HT362" i="1" s="1"/>
  <c r="HP377" i="1"/>
  <c r="HO377" i="1" s="1"/>
  <c r="GV377" i="1"/>
  <c r="FK377" i="1"/>
  <c r="FD377" i="1"/>
  <c r="EW377" i="1"/>
  <c r="EO377" i="1"/>
  <c r="EN377" i="1"/>
  <c r="EG377" i="1"/>
  <c r="EF377" i="1"/>
  <c r="DU377" i="1"/>
  <c r="DE377" i="1"/>
  <c r="DC377" i="1" s="1"/>
  <c r="CZ377" i="1"/>
  <c r="CW377" i="1"/>
  <c r="CV377" i="1"/>
  <c r="CT377" i="1" s="1"/>
  <c r="CB377" i="1"/>
  <c r="IA376" i="1"/>
  <c r="HW376" i="1"/>
  <c r="HS376" i="1"/>
  <c r="HO376" i="1"/>
  <c r="HK376" i="1"/>
  <c r="HJ376" i="1"/>
  <c r="HG376" i="1" s="1"/>
  <c r="GU376" i="1"/>
  <c r="FO376" i="1"/>
  <c r="FN376" i="1"/>
  <c r="FK376" i="1" s="1"/>
  <c r="FJ376" i="1"/>
  <c r="FH376" i="1"/>
  <c r="FC376" i="1"/>
  <c r="FT376" i="1" s="1"/>
  <c r="ES376" i="1"/>
  <c r="EO376" i="1"/>
  <c r="EK376" i="1"/>
  <c r="EG376" i="1"/>
  <c r="IA375" i="1"/>
  <c r="HW375" i="1"/>
  <c r="HS375" i="1"/>
  <c r="HR375" i="1"/>
  <c r="HJ375" i="1" s="1"/>
  <c r="HJ363" i="1" s="1"/>
  <c r="HK375" i="1"/>
  <c r="GU375" i="1"/>
  <c r="FR375" i="1"/>
  <c r="FR363" i="1" s="1"/>
  <c r="FH375" i="1"/>
  <c r="FH363" i="1" s="1"/>
  <c r="FC375" i="1"/>
  <c r="FT375" i="1" s="1"/>
  <c r="ES375" i="1"/>
  <c r="EO375" i="1"/>
  <c r="EK375" i="1"/>
  <c r="EG375" i="1"/>
  <c r="GX374" i="1"/>
  <c r="GU374" i="1" s="1"/>
  <c r="GV374" i="1"/>
  <c r="FF374" i="1"/>
  <c r="IA373" i="1"/>
  <c r="HZ373" i="1"/>
  <c r="HX373" i="1"/>
  <c r="HS373" i="1"/>
  <c r="IA372" i="1"/>
  <c r="HZ372" i="1"/>
  <c r="HZ363" i="1" s="1"/>
  <c r="HZ12" i="1" s="1"/>
  <c r="HX372" i="1"/>
  <c r="HX363" i="1" s="1"/>
  <c r="HS372" i="1"/>
  <c r="ID371" i="1"/>
  <c r="IC371" i="1"/>
  <c r="IB371" i="1"/>
  <c r="HY371" i="1"/>
  <c r="HV371" i="1"/>
  <c r="HU371" i="1"/>
  <c r="HT371" i="1"/>
  <c r="HP371" i="1"/>
  <c r="HN371" i="1"/>
  <c r="HK371" i="1" s="1"/>
  <c r="HH371" i="1"/>
  <c r="GX371" i="1"/>
  <c r="GV371" i="1"/>
  <c r="FP371" i="1"/>
  <c r="EV371" i="1"/>
  <c r="ES371" i="1" s="1"/>
  <c r="ER371" i="1"/>
  <c r="EO371" i="1" s="1"/>
  <c r="EN371" i="1"/>
  <c r="EK371" i="1" s="1"/>
  <c r="EJ371" i="1"/>
  <c r="EH371" i="1"/>
  <c r="IA370" i="1"/>
  <c r="HZ370" i="1"/>
  <c r="HW370" i="1" s="1"/>
  <c r="HS370" i="1"/>
  <c r="HO370" i="1"/>
  <c r="GX370" i="1"/>
  <c r="FO370" i="1"/>
  <c r="FJ370" i="1"/>
  <c r="FG370" i="1" s="1"/>
  <c r="FC370" i="1"/>
  <c r="GJ370" i="1" s="1"/>
  <c r="IA369" i="1"/>
  <c r="HZ369" i="1"/>
  <c r="HW369" i="1" s="1"/>
  <c r="HS369" i="1"/>
  <c r="HO369" i="1"/>
  <c r="HN369" i="1"/>
  <c r="HK369" i="1" s="1"/>
  <c r="HJ369" i="1"/>
  <c r="HG369" i="1" s="1"/>
  <c r="GU369" i="1"/>
  <c r="FJ369" i="1"/>
  <c r="FC369" i="1"/>
  <c r="GJ369" i="1" s="1"/>
  <c r="EW369" i="1"/>
  <c r="ES369" i="1"/>
  <c r="EK369" i="1"/>
  <c r="IA368" i="1"/>
  <c r="HW368" i="1"/>
  <c r="HS368" i="1"/>
  <c r="HO368" i="1"/>
  <c r="HK368" i="1"/>
  <c r="HG368" i="1"/>
  <c r="GU368" i="1"/>
  <c r="FO368" i="1"/>
  <c r="FJ368" i="1"/>
  <c r="FC368" i="1"/>
  <c r="GJ368" i="1" s="1"/>
  <c r="ES368" i="1"/>
  <c r="EK368" i="1"/>
  <c r="EG368" i="1"/>
  <c r="IA367" i="1"/>
  <c r="HS367" i="1"/>
  <c r="HR367" i="1"/>
  <c r="HN367" i="1"/>
  <c r="GU367" i="1"/>
  <c r="FO367" i="1"/>
  <c r="FJ367" i="1"/>
  <c r="FC367" i="1"/>
  <c r="GJ367" i="1" s="1"/>
  <c r="EW367" i="1"/>
  <c r="ES367" i="1"/>
  <c r="EK367" i="1"/>
  <c r="EG367" i="1"/>
  <c r="IA366" i="1"/>
  <c r="HW366" i="1"/>
  <c r="HS366" i="1"/>
  <c r="HO366" i="1"/>
  <c r="HK366" i="1"/>
  <c r="HG366" i="1"/>
  <c r="GU366" i="1"/>
  <c r="FO366" i="1"/>
  <c r="FK366" i="1"/>
  <c r="FC366" i="1"/>
  <c r="GJ366" i="1" s="1"/>
  <c r="FB366" i="1"/>
  <c r="EZ366" i="1" s="1"/>
  <c r="EW366" i="1"/>
  <c r="EV366" i="1"/>
  <c r="EO366" i="1"/>
  <c r="EG366" i="1"/>
  <c r="EF366" i="1"/>
  <c r="EE366" i="1"/>
  <c r="DX366" i="1"/>
  <c r="DU366" i="1"/>
  <c r="CZ366" i="1"/>
  <c r="CW366" i="1"/>
  <c r="CB366" i="1"/>
  <c r="FO365" i="1"/>
  <c r="FN365" i="1"/>
  <c r="FK365" i="1" s="1"/>
  <c r="FJ365" i="1"/>
  <c r="FG365" i="1" s="1"/>
  <c r="FC365" i="1"/>
  <c r="GJ365" i="1" s="1"/>
  <c r="EV365" i="1"/>
  <c r="ES365" i="1" s="1"/>
  <c r="ER365" i="1"/>
  <c r="EO365" i="1" s="1"/>
  <c r="EN365" i="1"/>
  <c r="EK365" i="1" s="1"/>
  <c r="EG365" i="1"/>
  <c r="DT365" i="1"/>
  <c r="DR365" i="1" s="1"/>
  <c r="DO365" i="1"/>
  <c r="CY365" i="1"/>
  <c r="CB365" i="1"/>
  <c r="EW395" i="1"/>
  <c r="DX395" i="1"/>
  <c r="DU395" i="1"/>
  <c r="CZ395" i="1"/>
  <c r="CT395" i="1"/>
  <c r="CQ395" i="1"/>
  <c r="CM395" i="1"/>
  <c r="CH395" i="1"/>
  <c r="CB395" i="1"/>
  <c r="BY395" i="1"/>
  <c r="BV395" i="1"/>
  <c r="BH395" i="1"/>
  <c r="BG395" i="1"/>
  <c r="BB395" i="1"/>
  <c r="AY395" i="1"/>
  <c r="AV395" i="1"/>
  <c r="AS395" i="1"/>
  <c r="AF395" i="1"/>
  <c r="AC395" i="1"/>
  <c r="Z395" i="1"/>
  <c r="T395" i="1"/>
  <c r="S364" i="1"/>
  <c r="Q364" i="1" s="1"/>
  <c r="Q361" i="1" s="1"/>
  <c r="M395" i="1"/>
  <c r="E395" i="1"/>
  <c r="DN364" i="1"/>
  <c r="DN361" i="1" s="1"/>
  <c r="DL361" i="1" s="1"/>
  <c r="AH364" i="1"/>
  <c r="AH361" i="1" s="1"/>
  <c r="ID364" i="1"/>
  <c r="ID362" i="1" s="1"/>
  <c r="HV364" i="1"/>
  <c r="HS364" i="1" s="1"/>
  <c r="FR364" i="1"/>
  <c r="FO364" i="1" s="1"/>
  <c r="FK364" i="1"/>
  <c r="FC364" i="1"/>
  <c r="GJ364" i="1" s="1"/>
  <c r="EY364" i="1"/>
  <c r="EW364" i="1" s="1"/>
  <c r="EW361" i="1" s="1"/>
  <c r="EO364" i="1"/>
  <c r="EJ364" i="1"/>
  <c r="EG364" i="1" s="1"/>
  <c r="DZ364" i="1"/>
  <c r="DW364" i="1"/>
  <c r="DB364" i="1"/>
  <c r="CZ364" i="1" s="1"/>
  <c r="CZ361" i="1" s="1"/>
  <c r="CR364" i="1"/>
  <c r="CR361" i="1" s="1"/>
  <c r="CQ364" i="1"/>
  <c r="CQ361" i="1" s="1"/>
  <c r="CI364" i="1"/>
  <c r="CI361" i="1" s="1"/>
  <c r="CH364" i="1"/>
  <c r="CM364" i="1" s="1"/>
  <c r="CK364" i="1" s="1"/>
  <c r="CD364" i="1"/>
  <c r="BX364" i="1"/>
  <c r="BI364" i="1"/>
  <c r="BI361" i="1" s="1"/>
  <c r="BD364" i="1"/>
  <c r="BB364" i="1" s="1"/>
  <c r="BB361" i="1" s="1"/>
  <c r="AZ364" i="1"/>
  <c r="AZ361" i="1" s="1"/>
  <c r="AT364" i="1"/>
  <c r="AT361" i="1" s="1"/>
  <c r="AS364" i="1"/>
  <c r="AS361" i="1" s="1"/>
  <c r="AJ364" i="1"/>
  <c r="AJ361" i="1" s="1"/>
  <c r="Z364" i="1"/>
  <c r="V364" i="1"/>
  <c r="G364" i="1"/>
  <c r="ID363" i="1"/>
  <c r="IC363" i="1"/>
  <c r="IB363" i="1"/>
  <c r="HY363" i="1"/>
  <c r="HV363" i="1"/>
  <c r="HU363" i="1"/>
  <c r="HT363" i="1"/>
  <c r="HQ363" i="1"/>
  <c r="HP363" i="1"/>
  <c r="HN363" i="1"/>
  <c r="HN12" i="1" s="1"/>
  <c r="HM363" i="1"/>
  <c r="HM12" i="1" s="1"/>
  <c r="HL363" i="1"/>
  <c r="HL12" i="1" s="1"/>
  <c r="HI363" i="1"/>
  <c r="HH363" i="1"/>
  <c r="GX363" i="1"/>
  <c r="GW363" i="1"/>
  <c r="GV363" i="1"/>
  <c r="FQ363" i="1"/>
  <c r="FP363" i="1"/>
  <c r="FI363" i="1"/>
  <c r="FF363" i="1"/>
  <c r="FZ363" i="1" s="1"/>
  <c r="FE363" i="1"/>
  <c r="FD363" i="1"/>
  <c r="EV363" i="1"/>
  <c r="EU363" i="1"/>
  <c r="ET363" i="1"/>
  <c r="EN363" i="1"/>
  <c r="EM363" i="1"/>
  <c r="EL363" i="1"/>
  <c r="EJ363" i="1"/>
  <c r="EI363" i="1"/>
  <c r="EH363" i="1"/>
  <c r="IC362" i="1"/>
  <c r="HY362" i="1"/>
  <c r="HU362" i="1"/>
  <c r="HQ362" i="1"/>
  <c r="HM362" i="1"/>
  <c r="HI362" i="1"/>
  <c r="GW362" i="1"/>
  <c r="FQ362" i="1"/>
  <c r="FI362" i="1"/>
  <c r="FE362" i="1"/>
  <c r="EU362" i="1"/>
  <c r="EM362" i="1"/>
  <c r="EI362" i="1"/>
  <c r="EH362" i="1"/>
  <c r="FL361" i="1"/>
  <c r="FL11" i="1" s="1"/>
  <c r="EX361" i="1"/>
  <c r="EX11" i="1" s="1"/>
  <c r="ER361" i="1"/>
  <c r="ER11" i="1" s="1"/>
  <c r="EP361" i="1"/>
  <c r="EE361" i="1"/>
  <c r="EE11" i="1" s="1"/>
  <c r="EC361" i="1"/>
  <c r="EB361" i="1"/>
  <c r="EA361" i="1"/>
  <c r="DY361" i="1"/>
  <c r="DV361" i="1"/>
  <c r="DV11" i="1" s="1"/>
  <c r="DA361" i="1"/>
  <c r="DA11" i="1" s="1"/>
  <c r="CX361" i="1"/>
  <c r="CX396" i="1" s="1"/>
  <c r="CU361" i="1"/>
  <c r="CS361" i="1"/>
  <c r="CO361" i="1"/>
  <c r="CO10" i="1" s="1"/>
  <c r="CL361" i="1"/>
  <c r="CJ361" i="1"/>
  <c r="CC361" i="1"/>
  <c r="BZ361" i="1"/>
  <c r="BW361" i="1"/>
  <c r="BT361" i="1"/>
  <c r="BR361" i="1"/>
  <c r="BQ361" i="1"/>
  <c r="BP361" i="1"/>
  <c r="BO361" i="1"/>
  <c r="BN361" i="1"/>
  <c r="BM361" i="1"/>
  <c r="BK361" i="1"/>
  <c r="BF361" i="1"/>
  <c r="BC361" i="1"/>
  <c r="BC397" i="1" s="1"/>
  <c r="BC14" i="1" s="1"/>
  <c r="AW361" i="1"/>
  <c r="AU361" i="1"/>
  <c r="AE361" i="1"/>
  <c r="AC361" i="1"/>
  <c r="AB361" i="1"/>
  <c r="X359" i="1"/>
  <c r="U359" i="1"/>
  <c r="U397" i="1" s="1"/>
  <c r="DE354" i="1"/>
  <c r="IB353" i="1"/>
  <c r="IA353" i="1" s="1"/>
  <c r="HS353" i="1"/>
  <c r="HO353" i="1"/>
  <c r="HL353" i="1"/>
  <c r="HK353" i="1" s="1"/>
  <c r="HH353" i="1"/>
  <c r="HG353" i="1" s="1"/>
  <c r="GU353" i="1"/>
  <c r="FP353" i="1"/>
  <c r="FO353" i="1" s="1"/>
  <c r="FK353" i="1"/>
  <c r="FC353" i="1"/>
  <c r="FT353" i="1" s="1"/>
  <c r="FA353" i="1"/>
  <c r="EZ353" i="1" s="1"/>
  <c r="EW353" i="1"/>
  <c r="ES353" i="1"/>
  <c r="EL353" i="1"/>
  <c r="EG353" i="1"/>
  <c r="EE353" i="1"/>
  <c r="DU353" i="1"/>
  <c r="DJ353" i="1"/>
  <c r="DI353" i="1" s="1"/>
  <c r="CW353" i="1"/>
  <c r="HT352" i="1"/>
  <c r="HS352" i="1" s="1"/>
  <c r="HS23" i="1" s="1"/>
  <c r="HP352" i="1"/>
  <c r="HO352" i="1" s="1"/>
  <c r="HO23" i="1" s="1"/>
  <c r="HL352" i="1"/>
  <c r="HL23" i="1" s="1"/>
  <c r="GV352" i="1"/>
  <c r="GV23" i="1" s="1"/>
  <c r="FN352" i="1"/>
  <c r="FN23" i="1" s="1"/>
  <c r="FM352" i="1"/>
  <c r="FM23" i="1" s="1"/>
  <c r="FL352" i="1"/>
  <c r="FL23" i="1" s="1"/>
  <c r="FD352" i="1"/>
  <c r="EX352" i="1"/>
  <c r="EW352" i="1" s="1"/>
  <c r="EW23" i="1" s="1"/>
  <c r="EV352" i="1"/>
  <c r="EV23" i="1" s="1"/>
  <c r="EU352" i="1"/>
  <c r="EU23" i="1" s="1"/>
  <c r="ET352" i="1"/>
  <c r="ER352" i="1"/>
  <c r="ER23" i="1" s="1"/>
  <c r="EQ352" i="1"/>
  <c r="EQ23" i="1" s="1"/>
  <c r="EN352" i="1"/>
  <c r="EN23" i="1" s="1"/>
  <c r="EM352" i="1"/>
  <c r="EM23" i="1" s="1"/>
  <c r="EH352" i="1"/>
  <c r="EG352" i="1" s="1"/>
  <c r="EG23" i="1" s="1"/>
  <c r="DV352" i="1"/>
  <c r="DU352" i="1" s="1"/>
  <c r="CX352" i="1"/>
  <c r="CW352" i="1" s="1"/>
  <c r="GU351" i="1"/>
  <c r="FP351" i="1"/>
  <c r="FC351" i="1"/>
  <c r="FT351" i="1" s="1"/>
  <c r="IA350" i="1"/>
  <c r="HS350" i="1"/>
  <c r="HO350" i="1"/>
  <c r="GV350" i="1"/>
  <c r="FO350" i="1"/>
  <c r="FC350" i="1"/>
  <c r="FT350" i="1" s="1"/>
  <c r="IB349" i="1"/>
  <c r="IA349" i="1" s="1"/>
  <c r="HS349" i="1"/>
  <c r="HP349" i="1"/>
  <c r="HO349" i="1" s="1"/>
  <c r="HL349" i="1"/>
  <c r="HK349" i="1" s="1"/>
  <c r="FP349" i="1"/>
  <c r="FO349" i="1" s="1"/>
  <c r="FK349" i="1"/>
  <c r="FD349" i="1"/>
  <c r="FV349" i="1" s="1"/>
  <c r="EW349" i="1"/>
  <c r="ES349" i="1"/>
  <c r="EL349" i="1"/>
  <c r="EL348" i="1" s="1"/>
  <c r="EG349" i="1"/>
  <c r="EE349" i="1"/>
  <c r="DU349" i="1"/>
  <c r="DJ349" i="1"/>
  <c r="DI349" i="1" s="1"/>
  <c r="CW349" i="1"/>
  <c r="HT348" i="1"/>
  <c r="HS348" i="1" s="1"/>
  <c r="HL348" i="1"/>
  <c r="HK348" i="1" s="1"/>
  <c r="FN348" i="1"/>
  <c r="FM348" i="1"/>
  <c r="FL348" i="1"/>
  <c r="EX348" i="1"/>
  <c r="EW348" i="1" s="1"/>
  <c r="EV348" i="1"/>
  <c r="EU348" i="1"/>
  <c r="ET348" i="1"/>
  <c r="ER348" i="1"/>
  <c r="EQ348" i="1"/>
  <c r="EN348" i="1"/>
  <c r="EM348" i="1"/>
  <c r="EH348" i="1"/>
  <c r="EG348" i="1" s="1"/>
  <c r="DV348" i="1"/>
  <c r="DU348" i="1" s="1"/>
  <c r="CX348" i="1"/>
  <c r="CW348" i="1" s="1"/>
  <c r="HW347" i="1"/>
  <c r="HI347" i="1"/>
  <c r="HG347" i="1" s="1"/>
  <c r="FQ347" i="1"/>
  <c r="FK347" i="1"/>
  <c r="FC347" i="1"/>
  <c r="FT347" i="1" s="1"/>
  <c r="ES347" i="1"/>
  <c r="EO347" i="1"/>
  <c r="EM347" i="1"/>
  <c r="DJ347" i="1"/>
  <c r="DJ23" i="1" s="1"/>
  <c r="CW347" i="1"/>
  <c r="ID346" i="1"/>
  <c r="ID22" i="1" s="1"/>
  <c r="IB346" i="1"/>
  <c r="IB22" i="1" s="1"/>
  <c r="HZ346" i="1"/>
  <c r="HZ22" i="1" s="1"/>
  <c r="HY346" i="1"/>
  <c r="HY22" i="1" s="1"/>
  <c r="HX346" i="1"/>
  <c r="HV346" i="1"/>
  <c r="HV22" i="1" s="1"/>
  <c r="HT346" i="1"/>
  <c r="HT22" i="1" s="1"/>
  <c r="HR346" i="1"/>
  <c r="HR22" i="1" s="1"/>
  <c r="HP346" i="1"/>
  <c r="HP22" i="1" s="1"/>
  <c r="HN346" i="1"/>
  <c r="HN22" i="1" s="1"/>
  <c r="HL346" i="1"/>
  <c r="HL22" i="1" s="1"/>
  <c r="HJ346" i="1"/>
  <c r="HJ22" i="1" s="1"/>
  <c r="HH346" i="1"/>
  <c r="HH22" i="1" s="1"/>
  <c r="GX346" i="1"/>
  <c r="GX22" i="1" s="1"/>
  <c r="GV346" i="1"/>
  <c r="GV22" i="1" s="1"/>
  <c r="FP346" i="1"/>
  <c r="FP22" i="1" s="1"/>
  <c r="FN346" i="1"/>
  <c r="FN22" i="1" s="1"/>
  <c r="FM346" i="1"/>
  <c r="FM22" i="1" s="1"/>
  <c r="FL346" i="1"/>
  <c r="FF346" i="1"/>
  <c r="FF22" i="1" s="1"/>
  <c r="FE346" i="1"/>
  <c r="FD346" i="1"/>
  <c r="FA346" i="1" s="1"/>
  <c r="EV346" i="1"/>
  <c r="EU346" i="1"/>
  <c r="EU22" i="1" s="1"/>
  <c r="ET346" i="1"/>
  <c r="ET22" i="1" s="1"/>
  <c r="ER346" i="1"/>
  <c r="ER22" i="1" s="1"/>
  <c r="EQ346" i="1"/>
  <c r="EQ22" i="1" s="1"/>
  <c r="EP346" i="1"/>
  <c r="EP22" i="1" s="1"/>
  <c r="EN346" i="1"/>
  <c r="EN22" i="1" s="1"/>
  <c r="EL346" i="1"/>
  <c r="EI346" i="1"/>
  <c r="EI22" i="1" s="1"/>
  <c r="EH346" i="1"/>
  <c r="EH22" i="1" s="1"/>
  <c r="DI346" i="1"/>
  <c r="DI347" i="1" s="1"/>
  <c r="DG346" i="1"/>
  <c r="CW346" i="1"/>
  <c r="HU332" i="1"/>
  <c r="HQ332" i="1"/>
  <c r="HO332" i="1" s="1"/>
  <c r="HG332" i="1"/>
  <c r="GU332" i="1"/>
  <c r="FQ332" i="1"/>
  <c r="FI332" i="1" s="1"/>
  <c r="FG332" i="1" s="1"/>
  <c r="FK332" i="1"/>
  <c r="FC332" i="1"/>
  <c r="FT332" i="1" s="1"/>
  <c r="FA332" i="1"/>
  <c r="EZ332" i="1" s="1"/>
  <c r="EO332" i="1"/>
  <c r="EG332" i="1"/>
  <c r="EE332" i="1"/>
  <c r="ED332" i="1" s="1"/>
  <c r="DJ332" i="1"/>
  <c r="DG332" i="1" s="1"/>
  <c r="DF332" i="1" s="1"/>
  <c r="IA328" i="1"/>
  <c r="HW328" i="1"/>
  <c r="HS328" i="1"/>
  <c r="HO328" i="1"/>
  <c r="HK328" i="1"/>
  <c r="HG328" i="1"/>
  <c r="GU328" i="1"/>
  <c r="FP328" i="1"/>
  <c r="FC328" i="1"/>
  <c r="FT328" i="1" s="1"/>
  <c r="FA328" i="1"/>
  <c r="EZ328" i="1" s="1"/>
  <c r="EW328" i="1"/>
  <c r="ES328" i="1"/>
  <c r="EG328" i="1"/>
  <c r="EE328" i="1"/>
  <c r="ED328" i="1" s="1"/>
  <c r="DU328" i="1"/>
  <c r="DO328" i="1"/>
  <c r="DL328" i="1"/>
  <c r="DJ328" i="1"/>
  <c r="DS328" i="1" s="1"/>
  <c r="DR328" i="1" s="1"/>
  <c r="CW328" i="1"/>
  <c r="IA326" i="1"/>
  <c r="HW326" i="1"/>
  <c r="HS326" i="1"/>
  <c r="HO326" i="1"/>
  <c r="HK326" i="1"/>
  <c r="HG326" i="1"/>
  <c r="GU326" i="1"/>
  <c r="FP326" i="1"/>
  <c r="FC326" i="1"/>
  <c r="FT326" i="1" s="1"/>
  <c r="FA326" i="1"/>
  <c r="EZ326" i="1" s="1"/>
  <c r="EW326" i="1"/>
  <c r="ES326" i="1"/>
  <c r="EG326" i="1"/>
  <c r="EE326" i="1"/>
  <c r="ED326" i="1" s="1"/>
  <c r="DU326" i="1"/>
  <c r="DO326" i="1"/>
  <c r="DL326" i="1"/>
  <c r="DJ326" i="1"/>
  <c r="CW326" i="1"/>
  <c r="IA323" i="1"/>
  <c r="HW323" i="1"/>
  <c r="HS323" i="1"/>
  <c r="HO323" i="1"/>
  <c r="HK323" i="1"/>
  <c r="HG323" i="1"/>
  <c r="GU323" i="1"/>
  <c r="FP323" i="1"/>
  <c r="FH323" i="1" s="1"/>
  <c r="FG323" i="1" s="1"/>
  <c r="FC323" i="1"/>
  <c r="FT323" i="1" s="1"/>
  <c r="FA323" i="1"/>
  <c r="EZ323" i="1" s="1"/>
  <c r="EW323" i="1"/>
  <c r="ES323" i="1"/>
  <c r="EG323" i="1"/>
  <c r="EE323" i="1"/>
  <c r="ED323" i="1" s="1"/>
  <c r="DU323" i="1"/>
  <c r="DO323" i="1"/>
  <c r="DL323" i="1"/>
  <c r="CX323" i="1"/>
  <c r="IA322" i="1"/>
  <c r="HW322" i="1"/>
  <c r="HS322" i="1"/>
  <c r="HO322" i="1"/>
  <c r="HK322" i="1"/>
  <c r="HG322" i="1"/>
  <c r="GU322" i="1"/>
  <c r="FP322" i="1"/>
  <c r="FK322" i="1"/>
  <c r="IA319" i="1"/>
  <c r="HW319" i="1"/>
  <c r="HS319" i="1"/>
  <c r="HO319" i="1"/>
  <c r="HK319" i="1"/>
  <c r="HG319" i="1"/>
  <c r="GU319" i="1"/>
  <c r="FK319" i="1"/>
  <c r="FA319" i="1"/>
  <c r="EZ319" i="1" s="1"/>
  <c r="EW319" i="1"/>
  <c r="ES319" i="1"/>
  <c r="EO319" i="1"/>
  <c r="EL319" i="1"/>
  <c r="EK319" i="1" s="1"/>
  <c r="EG319" i="1"/>
  <c r="EE319" i="1"/>
  <c r="ED319" i="1" s="1"/>
  <c r="DX319" i="1"/>
  <c r="DU319" i="1"/>
  <c r="DO319" i="1"/>
  <c r="DM319" i="1"/>
  <c r="DJ319" i="1"/>
  <c r="DG319" i="1" s="1"/>
  <c r="DF319" i="1" s="1"/>
  <c r="CZ319" i="1"/>
  <c r="CW319" i="1"/>
  <c r="CT319" i="1"/>
  <c r="CQ319" i="1"/>
  <c r="CM319" i="1"/>
  <c r="CL319" i="1"/>
  <c r="CO319" i="1" s="1"/>
  <c r="CH319" i="1"/>
  <c r="CB319" i="1"/>
  <c r="CA319" i="1"/>
  <c r="BZ319" i="1"/>
  <c r="BV319" i="1"/>
  <c r="CF319" i="1" s="1"/>
  <c r="BH319" i="1"/>
  <c r="BG319" i="1"/>
  <c r="BF319" i="1"/>
  <c r="BB319" i="1"/>
  <c r="AY319" i="1"/>
  <c r="BL319" i="1" s="1"/>
  <c r="AX319" i="1"/>
  <c r="AW319" i="1"/>
  <c r="AS319" i="1"/>
  <c r="AG319" i="1"/>
  <c r="AQ319" i="1" s="1"/>
  <c r="AQ311" i="1" s="1"/>
  <c r="AC319" i="1"/>
  <c r="Z319" i="1"/>
  <c r="Y319" i="1"/>
  <c r="X319" i="1"/>
  <c r="T319" i="1"/>
  <c r="Q319" i="1"/>
  <c r="P319" i="1"/>
  <c r="O319" i="1"/>
  <c r="K319" i="1"/>
  <c r="J319" i="1"/>
  <c r="F319" i="1"/>
  <c r="IA317" i="1"/>
  <c r="HW317" i="1"/>
  <c r="HS317" i="1"/>
  <c r="HO317" i="1"/>
  <c r="HK317" i="1"/>
  <c r="HG317" i="1"/>
  <c r="GU317" i="1"/>
  <c r="FP317" i="1"/>
  <c r="FH317" i="1" s="1"/>
  <c r="FG317" i="1" s="1"/>
  <c r="FK317" i="1"/>
  <c r="EZ317" i="1"/>
  <c r="EW317" i="1"/>
  <c r="ES317" i="1"/>
  <c r="EO317" i="1"/>
  <c r="EL317" i="1"/>
  <c r="EG317" i="1"/>
  <c r="ED317" i="1"/>
  <c r="DX317" i="1"/>
  <c r="DU317" i="1"/>
  <c r="DS317" i="1"/>
  <c r="DR317" i="1" s="1"/>
  <c r="DO317" i="1"/>
  <c r="DL317" i="1"/>
  <c r="DI317" i="1"/>
  <c r="DG317" i="1"/>
  <c r="DF317" i="1" s="1"/>
  <c r="CZ317" i="1"/>
  <c r="CW317" i="1"/>
  <c r="CT317" i="1"/>
  <c r="CQ317" i="1"/>
  <c r="CM317" i="1"/>
  <c r="CP317" i="1" s="1"/>
  <c r="CL317" i="1"/>
  <c r="CH317" i="1"/>
  <c r="CB317" i="1"/>
  <c r="CA317" i="1"/>
  <c r="BZ317" i="1"/>
  <c r="BV317" i="1"/>
  <c r="CF317" i="1" s="1"/>
  <c r="BH317" i="1"/>
  <c r="BG317" i="1"/>
  <c r="BF317" i="1"/>
  <c r="BB317" i="1"/>
  <c r="AY317" i="1"/>
  <c r="BL317" i="1" s="1"/>
  <c r="AX317" i="1"/>
  <c r="AW317" i="1"/>
  <c r="AS317" i="1"/>
  <c r="AF317" i="1"/>
  <c r="AC317" i="1"/>
  <c r="Z317" i="1"/>
  <c r="AK317" i="1" s="1"/>
  <c r="AL317" i="1" s="1"/>
  <c r="Y317" i="1"/>
  <c r="X317" i="1"/>
  <c r="T317" i="1"/>
  <c r="Q317" i="1"/>
  <c r="P317" i="1"/>
  <c r="O317" i="1"/>
  <c r="K317" i="1"/>
  <c r="J317" i="1"/>
  <c r="I317" i="1"/>
  <c r="E317" i="1"/>
  <c r="IB316" i="1"/>
  <c r="IB311" i="1" s="1"/>
  <c r="IA311" i="1" s="1"/>
  <c r="HT316" i="1"/>
  <c r="HT311" i="1" s="1"/>
  <c r="HS311" i="1" s="1"/>
  <c r="HO316" i="1"/>
  <c r="HL316" i="1"/>
  <c r="GV316" i="1"/>
  <c r="FP316" i="1"/>
  <c r="FK316" i="1"/>
  <c r="FC316" i="1"/>
  <c r="FA316" i="1"/>
  <c r="EW316" i="1"/>
  <c r="ES316" i="1"/>
  <c r="EO316" i="1"/>
  <c r="EK316" i="1"/>
  <c r="EG316" i="1"/>
  <c r="EE316" i="1"/>
  <c r="DX316" i="1"/>
  <c r="DU316" i="1"/>
  <c r="DO316" i="1"/>
  <c r="DL316" i="1"/>
  <c r="DJ316" i="1"/>
  <c r="DG316" i="1" s="1"/>
  <c r="DF316" i="1" s="1"/>
  <c r="CZ316" i="1"/>
  <c r="CW316" i="1"/>
  <c r="CT316" i="1"/>
  <c r="CQ316" i="1"/>
  <c r="CM316" i="1"/>
  <c r="CL316" i="1"/>
  <c r="CH316" i="1"/>
  <c r="CB316" i="1"/>
  <c r="CA316" i="1"/>
  <c r="BZ316" i="1"/>
  <c r="BV316" i="1"/>
  <c r="CF316" i="1" s="1"/>
  <c r="BH316" i="1"/>
  <c r="BG316" i="1"/>
  <c r="BF316" i="1"/>
  <c r="BB316" i="1"/>
  <c r="AY316" i="1"/>
  <c r="BL316" i="1" s="1"/>
  <c r="AX316" i="1"/>
  <c r="AW316" i="1"/>
  <c r="AS316" i="1"/>
  <c r="AK316" i="1"/>
  <c r="AL316" i="1" s="1"/>
  <c r="AF316" i="1"/>
  <c r="AR316" i="1" s="1"/>
  <c r="AC316" i="1"/>
  <c r="Y316" i="1"/>
  <c r="X316" i="1"/>
  <c r="T316" i="1"/>
  <c r="Q316" i="1"/>
  <c r="P316" i="1"/>
  <c r="O316" i="1"/>
  <c r="K316" i="1"/>
  <c r="J316" i="1"/>
  <c r="F316" i="1"/>
  <c r="IA313" i="1"/>
  <c r="HW313" i="1"/>
  <c r="HS313" i="1"/>
  <c r="HO313" i="1"/>
  <c r="HK313" i="1"/>
  <c r="HG313" i="1"/>
  <c r="GU313" i="1"/>
  <c r="FP313" i="1"/>
  <c r="FC313" i="1"/>
  <c r="FA313" i="1"/>
  <c r="EW313" i="1"/>
  <c r="ES313" i="1"/>
  <c r="EL313" i="1"/>
  <c r="EG313" i="1"/>
  <c r="DU313" i="1"/>
  <c r="DO313" i="1"/>
  <c r="DL313" i="1"/>
  <c r="DJ313" i="1"/>
  <c r="CW313" i="1"/>
  <c r="CT313" i="1"/>
  <c r="CQ313" i="1"/>
  <c r="CN313" i="1"/>
  <c r="CK313" i="1"/>
  <c r="CH313" i="1"/>
  <c r="CB313" i="1"/>
  <c r="BZ313" i="1"/>
  <c r="BV313" i="1"/>
  <c r="BT313" i="1"/>
  <c r="BT311" i="1" s="1"/>
  <c r="BP313" i="1"/>
  <c r="BP311" i="1" s="1"/>
  <c r="BH313" i="1"/>
  <c r="BG313" i="1"/>
  <c r="BF313" i="1"/>
  <c r="BB313" i="1"/>
  <c r="AV313" i="1"/>
  <c r="AT313" i="1"/>
  <c r="AT311" i="1" s="1"/>
  <c r="AG313" i="1"/>
  <c r="AC313" i="1"/>
  <c r="Z313" i="1"/>
  <c r="Y313" i="1"/>
  <c r="X313" i="1"/>
  <c r="T313" i="1"/>
  <c r="R313" i="1"/>
  <c r="P313" i="1"/>
  <c r="L313" i="1"/>
  <c r="L311" i="1" s="1"/>
  <c r="K311" i="1" s="1"/>
  <c r="J313" i="1"/>
  <c r="E313" i="1"/>
  <c r="EV310" i="1"/>
  <c r="ER310" i="1"/>
  <c r="EN310" i="1"/>
  <c r="EF310" i="1"/>
  <c r="DT310" i="1"/>
  <c r="DQ310" i="1"/>
  <c r="DN310" i="1"/>
  <c r="DK310" i="1"/>
  <c r="DH310" i="1"/>
  <c r="CY310" i="1"/>
  <c r="CV310" i="1"/>
  <c r="CD310" i="1"/>
  <c r="BX310" i="1"/>
  <c r="AN310" i="1"/>
  <c r="AM310" i="1"/>
  <c r="FP309" i="1"/>
  <c r="FC309" i="1"/>
  <c r="FD308" i="1"/>
  <c r="IA306" i="1"/>
  <c r="HX306" i="1"/>
  <c r="HX294" i="1" s="1"/>
  <c r="HW294" i="1" s="1"/>
  <c r="HS306" i="1"/>
  <c r="HO306" i="1"/>
  <c r="HL306" i="1"/>
  <c r="HL294" i="1" s="1"/>
  <c r="HK294" i="1" s="1"/>
  <c r="HH306" i="1"/>
  <c r="HG306" i="1" s="1"/>
  <c r="GU306" i="1"/>
  <c r="FP306" i="1"/>
  <c r="FO306" i="1" s="1"/>
  <c r="FL306" i="1"/>
  <c r="FK306" i="1" s="1"/>
  <c r="FC306" i="1"/>
  <c r="FT306" i="1" s="1"/>
  <c r="EZ306" i="1"/>
  <c r="EW306" i="1"/>
  <c r="ES306" i="1"/>
  <c r="EP306" i="1"/>
  <c r="EO306" i="1" s="1"/>
  <c r="EL306" i="1"/>
  <c r="EG306" i="1"/>
  <c r="ED306" i="1"/>
  <c r="DX306" i="1"/>
  <c r="DU306" i="1"/>
  <c r="DS306" i="1"/>
  <c r="DR306" i="1" s="1"/>
  <c r="DO306" i="1"/>
  <c r="DL306" i="1"/>
  <c r="DI306" i="1"/>
  <c r="DG306" i="1"/>
  <c r="DF306" i="1" s="1"/>
  <c r="CZ306" i="1"/>
  <c r="CW306" i="1"/>
  <c r="CT306" i="1"/>
  <c r="CQ306" i="1"/>
  <c r="CM306" i="1"/>
  <c r="CP306" i="1" s="1"/>
  <c r="CL306" i="1"/>
  <c r="CH306" i="1"/>
  <c r="CB306" i="1"/>
  <c r="CA306" i="1"/>
  <c r="BZ306" i="1"/>
  <c r="BV306" i="1"/>
  <c r="CF306" i="1" s="1"/>
  <c r="BS306" i="1"/>
  <c r="BH306" i="1"/>
  <c r="BG306" i="1"/>
  <c r="BF306" i="1"/>
  <c r="BB306" i="1"/>
  <c r="AY306" i="1"/>
  <c r="BL306" i="1" s="1"/>
  <c r="AX306" i="1"/>
  <c r="AW306" i="1"/>
  <c r="AS306" i="1"/>
  <c r="AG306" i="1"/>
  <c r="AF306" i="1" s="1"/>
  <c r="AR306" i="1" s="1"/>
  <c r="AC306" i="1"/>
  <c r="Z306" i="1"/>
  <c r="AK306" i="1" s="1"/>
  <c r="Y306" i="1"/>
  <c r="X306" i="1"/>
  <c r="T306" i="1"/>
  <c r="Q306" i="1"/>
  <c r="P306" i="1"/>
  <c r="O306" i="1"/>
  <c r="K306" i="1"/>
  <c r="J306" i="1"/>
  <c r="I306" i="1"/>
  <c r="E306" i="1"/>
  <c r="IA305" i="1"/>
  <c r="HX305" i="1"/>
  <c r="HW305" i="1" s="1"/>
  <c r="HS305" i="1"/>
  <c r="HO305" i="1"/>
  <c r="HL305" i="1"/>
  <c r="HK305" i="1" s="1"/>
  <c r="HH305" i="1"/>
  <c r="HG305" i="1" s="1"/>
  <c r="GU305" i="1"/>
  <c r="FP305" i="1"/>
  <c r="FK305" i="1"/>
  <c r="FC305" i="1"/>
  <c r="FT305" i="1" s="1"/>
  <c r="FA305" i="1"/>
  <c r="EZ305" i="1" s="1"/>
  <c r="EW305" i="1"/>
  <c r="ES305" i="1"/>
  <c r="EO305" i="1"/>
  <c r="EL305" i="1"/>
  <c r="EK305" i="1" s="1"/>
  <c r="EG305" i="1"/>
  <c r="ED305" i="1"/>
  <c r="DX305" i="1"/>
  <c r="DU305" i="1"/>
  <c r="DS305" i="1"/>
  <c r="DR305" i="1" s="1"/>
  <c r="DO305" i="1"/>
  <c r="DL305" i="1"/>
  <c r="DI305" i="1"/>
  <c r="DG305" i="1"/>
  <c r="DF305" i="1" s="1"/>
  <c r="CZ305" i="1"/>
  <c r="CW305" i="1"/>
  <c r="CT305" i="1"/>
  <c r="CQ305" i="1"/>
  <c r="CM305" i="1"/>
  <c r="CP305" i="1" s="1"/>
  <c r="CL305" i="1"/>
  <c r="CO305" i="1" s="1"/>
  <c r="CH305" i="1"/>
  <c r="CB305" i="1"/>
  <c r="CA305" i="1"/>
  <c r="BZ305" i="1"/>
  <c r="BV305" i="1"/>
  <c r="CF305" i="1" s="1"/>
  <c r="BT305" i="1"/>
  <c r="BS305" i="1" s="1"/>
  <c r="BH305" i="1"/>
  <c r="BG305" i="1"/>
  <c r="BF305" i="1"/>
  <c r="BF304" i="1" s="1"/>
  <c r="BE304" i="1" s="1"/>
  <c r="BB305" i="1"/>
  <c r="AY305" i="1"/>
  <c r="BL305" i="1" s="1"/>
  <c r="AX305" i="1"/>
  <c r="AW305" i="1"/>
  <c r="AS305" i="1"/>
  <c r="AG305" i="1"/>
  <c r="AC305" i="1"/>
  <c r="Z305" i="1"/>
  <c r="AK305" i="1" s="1"/>
  <c r="AL305" i="1" s="1"/>
  <c r="Y305" i="1"/>
  <c r="X305" i="1"/>
  <c r="X304" i="1" s="1"/>
  <c r="W304" i="1" s="1"/>
  <c r="T305" i="1"/>
  <c r="Q305" i="1"/>
  <c r="P305" i="1"/>
  <c r="O305" i="1"/>
  <c r="O304" i="1" s="1"/>
  <c r="N304" i="1" s="1"/>
  <c r="K305" i="1"/>
  <c r="J305" i="1"/>
  <c r="I305" i="1"/>
  <c r="I304" i="1" s="1"/>
  <c r="H304" i="1" s="1"/>
  <c r="E305" i="1"/>
  <c r="IB304" i="1"/>
  <c r="IA304" i="1" s="1"/>
  <c r="HT304" i="1"/>
  <c r="HS304" i="1" s="1"/>
  <c r="HP304" i="1"/>
  <c r="HO304" i="1" s="1"/>
  <c r="GV304" i="1"/>
  <c r="GU304" i="1" s="1"/>
  <c r="FD304" i="1"/>
  <c r="FV304" i="1" s="1"/>
  <c r="EZ304" i="1"/>
  <c r="EX304" i="1"/>
  <c r="EW304" i="1" s="1"/>
  <c r="ET304" i="1"/>
  <c r="ES304" i="1" s="1"/>
  <c r="EH304" i="1"/>
  <c r="EG304" i="1" s="1"/>
  <c r="DY304" i="1"/>
  <c r="DX304" i="1" s="1"/>
  <c r="DU304" i="1"/>
  <c r="DA304" i="1"/>
  <c r="CX304" i="1"/>
  <c r="CW304" i="1" s="1"/>
  <c r="CU304" i="1"/>
  <c r="CT304" i="1" s="1"/>
  <c r="CQ304" i="1"/>
  <c r="CI304" i="1"/>
  <c r="CH304" i="1" s="1"/>
  <c r="CC304" i="1"/>
  <c r="CB304" i="1" s="1"/>
  <c r="BW304" i="1"/>
  <c r="BV304" i="1" s="1"/>
  <c r="CF304" i="1" s="1"/>
  <c r="BI304" i="1"/>
  <c r="BH304" i="1" s="1"/>
  <c r="BC304" i="1"/>
  <c r="BB304" i="1" s="1"/>
  <c r="AZ304" i="1"/>
  <c r="AY304" i="1" s="1"/>
  <c r="BL304" i="1" s="1"/>
  <c r="AT304" i="1"/>
  <c r="AS304" i="1" s="1"/>
  <c r="AD304" i="1"/>
  <c r="AC304" i="1" s="1"/>
  <c r="AA304" i="1"/>
  <c r="Z304" i="1" s="1"/>
  <c r="AK304" i="1" s="1"/>
  <c r="AL304" i="1" s="1"/>
  <c r="U304" i="1"/>
  <c r="T304" i="1" s="1"/>
  <c r="R304" i="1"/>
  <c r="Q304" i="1" s="1"/>
  <c r="L304" i="1"/>
  <c r="K304" i="1" s="1"/>
  <c r="F304" i="1"/>
  <c r="E304" i="1" s="1"/>
  <c r="IA303" i="1"/>
  <c r="HS303" i="1"/>
  <c r="HP303" i="1"/>
  <c r="HH303" i="1" s="1"/>
  <c r="HG303" i="1" s="1"/>
  <c r="HL303" i="1"/>
  <c r="HX303" i="1" s="1"/>
  <c r="GU303" i="1"/>
  <c r="FP303" i="1"/>
  <c r="FO303" i="1" s="1"/>
  <c r="FK303" i="1"/>
  <c r="FC303" i="1"/>
  <c r="FT303" i="1" s="1"/>
  <c r="FA303" i="1"/>
  <c r="EZ303" i="1" s="1"/>
  <c r="EW303" i="1"/>
  <c r="ES303" i="1"/>
  <c r="EO303" i="1"/>
  <c r="EL303" i="1"/>
  <c r="EK303" i="1" s="1"/>
  <c r="EG303" i="1"/>
  <c r="EE303" i="1"/>
  <c r="DX303" i="1"/>
  <c r="DU303" i="1"/>
  <c r="DO303" i="1"/>
  <c r="DM303" i="1"/>
  <c r="DL303" i="1" s="1"/>
  <c r="DJ303" i="1"/>
  <c r="DD303" i="1"/>
  <c r="CZ303" i="1"/>
  <c r="CW303" i="1"/>
  <c r="CT303" i="1"/>
  <c r="CQ303" i="1"/>
  <c r="CM303" i="1"/>
  <c r="CP303" i="1" s="1"/>
  <c r="CL303" i="1"/>
  <c r="CH303" i="1"/>
  <c r="CB303" i="1"/>
  <c r="CA303" i="1"/>
  <c r="BZ303" i="1"/>
  <c r="BV303" i="1"/>
  <c r="CF303" i="1" s="1"/>
  <c r="BS303" i="1"/>
  <c r="BH303" i="1"/>
  <c r="BG303" i="1"/>
  <c r="BF303" i="1"/>
  <c r="BB303" i="1"/>
  <c r="AY303" i="1"/>
  <c r="BL303" i="1" s="1"/>
  <c r="AX303" i="1"/>
  <c r="AW303" i="1"/>
  <c r="AS303" i="1"/>
  <c r="AJ303" i="1"/>
  <c r="AG303" i="1"/>
  <c r="AC303" i="1"/>
  <c r="Z303" i="1"/>
  <c r="Y303" i="1"/>
  <c r="X303" i="1"/>
  <c r="T303" i="1"/>
  <c r="Q303" i="1"/>
  <c r="P303" i="1"/>
  <c r="O303" i="1"/>
  <c r="K303" i="1"/>
  <c r="J303" i="1"/>
  <c r="I303" i="1"/>
  <c r="E303" i="1"/>
  <c r="IA302" i="1"/>
  <c r="HS302" i="1"/>
  <c r="HP302" i="1"/>
  <c r="HL302" i="1"/>
  <c r="GU302" i="1"/>
  <c r="FO302" i="1"/>
  <c r="FK302" i="1"/>
  <c r="FH302" i="1"/>
  <c r="FG302" i="1" s="1"/>
  <c r="FC302" i="1"/>
  <c r="FT302" i="1" s="1"/>
  <c r="FA302" i="1"/>
  <c r="EW302" i="1"/>
  <c r="ES302" i="1"/>
  <c r="EO302" i="1"/>
  <c r="EK302" i="1"/>
  <c r="EG302" i="1"/>
  <c r="EE302" i="1"/>
  <c r="EB302" i="1"/>
  <c r="EA302" i="1" s="1"/>
  <c r="EA293" i="1" s="1"/>
  <c r="DX302" i="1"/>
  <c r="DU302" i="1"/>
  <c r="DS302" i="1"/>
  <c r="DR302" i="1" s="1"/>
  <c r="DO302" i="1"/>
  <c r="DJ302" i="1"/>
  <c r="DM302" i="1" s="1"/>
  <c r="DF302" i="1"/>
  <c r="DD302" i="1"/>
  <c r="DC302" i="1" s="1"/>
  <c r="CZ302" i="1"/>
  <c r="CW302" i="1"/>
  <c r="CU302" i="1"/>
  <c r="CT302" i="1" s="1"/>
  <c r="CQ302" i="1"/>
  <c r="CM302" i="1"/>
  <c r="CL302" i="1"/>
  <c r="CH302" i="1"/>
  <c r="CB302" i="1"/>
  <c r="CA302" i="1"/>
  <c r="BZ302" i="1"/>
  <c r="BV302" i="1"/>
  <c r="CF302" i="1" s="1"/>
  <c r="BS302" i="1"/>
  <c r="BH302" i="1"/>
  <c r="BG302" i="1"/>
  <c r="BF302" i="1"/>
  <c r="BB302" i="1"/>
  <c r="AY302" i="1"/>
  <c r="BL302" i="1" s="1"/>
  <c r="AX302" i="1"/>
  <c r="AW302" i="1"/>
  <c r="AS302" i="1"/>
  <c r="AJ302" i="1"/>
  <c r="AF302" i="1"/>
  <c r="AR302" i="1" s="1"/>
  <c r="AC302" i="1"/>
  <c r="Z302" i="1"/>
  <c r="Y302" i="1"/>
  <c r="X302" i="1"/>
  <c r="T302" i="1"/>
  <c r="Q302" i="1"/>
  <c r="P302" i="1"/>
  <c r="O302" i="1"/>
  <c r="K302" i="1"/>
  <c r="J302" i="1"/>
  <c r="I302" i="1"/>
  <c r="E302" i="1"/>
  <c r="ID301" i="1"/>
  <c r="IB301" i="1"/>
  <c r="IA301" i="1" s="1"/>
  <c r="HZ301" i="1"/>
  <c r="HV301" i="1"/>
  <c r="HT301" i="1"/>
  <c r="HS301" i="1" s="1"/>
  <c r="HN301" i="1"/>
  <c r="HJ301" i="1"/>
  <c r="GX301" i="1"/>
  <c r="GV301" i="1"/>
  <c r="GU301" i="1" s="1"/>
  <c r="FR301" i="1"/>
  <c r="FN301" i="1"/>
  <c r="FL301" i="1"/>
  <c r="FJ301" i="1"/>
  <c r="FD301" i="1"/>
  <c r="FV301" i="1" s="1"/>
  <c r="EY301" i="1"/>
  <c r="EX301" i="1"/>
  <c r="ET301" i="1"/>
  <c r="ES301" i="1" s="1"/>
  <c r="ER301" i="1"/>
  <c r="EP301" i="1"/>
  <c r="EN301" i="1"/>
  <c r="EJ301" i="1"/>
  <c r="EH301" i="1"/>
  <c r="EG301" i="1" s="1"/>
  <c r="DZ301" i="1"/>
  <c r="DY301" i="1"/>
  <c r="DV301" i="1"/>
  <c r="DU301" i="1" s="1"/>
  <c r="DT301" i="1"/>
  <c r="DQ301" i="1"/>
  <c r="DP301" i="1"/>
  <c r="DN301" i="1"/>
  <c r="DK301" i="1"/>
  <c r="DH301" i="1"/>
  <c r="DB301" i="1"/>
  <c r="DA301" i="1"/>
  <c r="CY301" i="1"/>
  <c r="CX301" i="1"/>
  <c r="CV301" i="1"/>
  <c r="CS301" i="1"/>
  <c r="CR301" i="1"/>
  <c r="CJ301" i="1"/>
  <c r="CI301" i="1"/>
  <c r="CD301" i="1"/>
  <c r="CC301" i="1"/>
  <c r="BX301" i="1"/>
  <c r="BW301" i="1"/>
  <c r="BS301" i="1"/>
  <c r="BJ301" i="1"/>
  <c r="BI301" i="1"/>
  <c r="BD301" i="1"/>
  <c r="BC301" i="1"/>
  <c r="BA301" i="1"/>
  <c r="AZ301" i="1"/>
  <c r="AU301" i="1"/>
  <c r="AT301" i="1"/>
  <c r="AQ301" i="1"/>
  <c r="AP301" i="1"/>
  <c r="AN301" i="1"/>
  <c r="AM301" i="1"/>
  <c r="AI301" i="1"/>
  <c r="AH301" i="1"/>
  <c r="AE301" i="1"/>
  <c r="AD301" i="1"/>
  <c r="AB301" i="1"/>
  <c r="AA301" i="1"/>
  <c r="V301" i="1"/>
  <c r="U301" i="1"/>
  <c r="S301" i="1"/>
  <c r="R301" i="1"/>
  <c r="M301" i="1"/>
  <c r="L301" i="1"/>
  <c r="G301" i="1"/>
  <c r="F301" i="1"/>
  <c r="IA300" i="1"/>
  <c r="HX300" i="1"/>
  <c r="HW300" i="1" s="1"/>
  <c r="HS300" i="1"/>
  <c r="HP300" i="1"/>
  <c r="HL300" i="1"/>
  <c r="HH300" i="1"/>
  <c r="HG300" i="1" s="1"/>
  <c r="GU300" i="1"/>
  <c r="FP300" i="1"/>
  <c r="FO300" i="1" s="1"/>
  <c r="FK300" i="1"/>
  <c r="FC300" i="1"/>
  <c r="FT300" i="1" s="1"/>
  <c r="FA300" i="1"/>
  <c r="EZ300" i="1" s="1"/>
  <c r="EW300" i="1"/>
  <c r="ES300" i="1"/>
  <c r="EO300" i="1"/>
  <c r="EL300" i="1"/>
  <c r="EK300" i="1" s="1"/>
  <c r="EG300" i="1"/>
  <c r="EE300" i="1"/>
  <c r="DX300" i="1"/>
  <c r="DU300" i="1"/>
  <c r="DO300" i="1"/>
  <c r="DM300" i="1"/>
  <c r="DL300" i="1" s="1"/>
  <c r="DJ300" i="1"/>
  <c r="DA300" i="1"/>
  <c r="CZ300" i="1" s="1"/>
  <c r="CW300" i="1"/>
  <c r="CT300" i="1"/>
  <c r="CQ300" i="1"/>
  <c r="CM300" i="1"/>
  <c r="CL300" i="1"/>
  <c r="CH300" i="1"/>
  <c r="CB300" i="1"/>
  <c r="CA300" i="1"/>
  <c r="BZ300" i="1"/>
  <c r="BV300" i="1"/>
  <c r="CF300" i="1" s="1"/>
  <c r="BT300" i="1"/>
  <c r="BS300" i="1" s="1"/>
  <c r="BP300" i="1"/>
  <c r="BH300" i="1"/>
  <c r="BG300" i="1"/>
  <c r="BF300" i="1"/>
  <c r="BB300" i="1"/>
  <c r="AY300" i="1"/>
  <c r="BL300" i="1" s="1"/>
  <c r="AX300" i="1"/>
  <c r="AW300" i="1"/>
  <c r="AS300" i="1"/>
  <c r="AJ300" i="1"/>
  <c r="AG300" i="1"/>
  <c r="AF300" i="1" s="1"/>
  <c r="AC300" i="1"/>
  <c r="Z300" i="1"/>
  <c r="Y300" i="1"/>
  <c r="X300" i="1"/>
  <c r="T300" i="1"/>
  <c r="Q300" i="1"/>
  <c r="P300" i="1"/>
  <c r="O300" i="1"/>
  <c r="K300" i="1"/>
  <c r="J300" i="1"/>
  <c r="I300" i="1"/>
  <c r="E300" i="1"/>
  <c r="IA299" i="1"/>
  <c r="HS299" i="1"/>
  <c r="HP299" i="1"/>
  <c r="HH299" i="1" s="1"/>
  <c r="HL299" i="1"/>
  <c r="GU299" i="1"/>
  <c r="FP299" i="1"/>
  <c r="FO299" i="1" s="1"/>
  <c r="FK299" i="1"/>
  <c r="FC299" i="1"/>
  <c r="FT299" i="1" s="1"/>
  <c r="FA299" i="1"/>
  <c r="EZ299" i="1" s="1"/>
  <c r="EW299" i="1"/>
  <c r="ES299" i="1"/>
  <c r="EO299" i="1"/>
  <c r="EH299" i="1"/>
  <c r="EH298" i="1" s="1"/>
  <c r="EG298" i="1" s="1"/>
  <c r="DX299" i="1"/>
  <c r="DU299" i="1"/>
  <c r="DO299" i="1"/>
  <c r="DM299" i="1"/>
  <c r="DJ299" i="1"/>
  <c r="CZ299" i="1"/>
  <c r="CW299" i="1"/>
  <c r="CT299" i="1"/>
  <c r="CQ299" i="1"/>
  <c r="CM299" i="1"/>
  <c r="CP299" i="1" s="1"/>
  <c r="CL299" i="1"/>
  <c r="CK299" i="1" s="1"/>
  <c r="CB299" i="1"/>
  <c r="CA299" i="1"/>
  <c r="BZ299" i="1"/>
  <c r="BV299" i="1"/>
  <c r="CF299" i="1" s="1"/>
  <c r="BT299" i="1"/>
  <c r="BS299" i="1" s="1"/>
  <c r="BH299" i="1"/>
  <c r="BG299" i="1"/>
  <c r="BF299" i="1"/>
  <c r="BB299" i="1"/>
  <c r="AZ299" i="1"/>
  <c r="AW299" i="1" s="1"/>
  <c r="AV299" i="1" s="1"/>
  <c r="AX299" i="1"/>
  <c r="AJ299" i="1"/>
  <c r="AG299" i="1"/>
  <c r="AC299" i="1"/>
  <c r="Z299" i="1"/>
  <c r="Y299" i="1"/>
  <c r="X299" i="1"/>
  <c r="W299" i="1" s="1"/>
  <c r="T299" i="1"/>
  <c r="Q299" i="1"/>
  <c r="P299" i="1"/>
  <c r="O299" i="1"/>
  <c r="N299" i="1" s="1"/>
  <c r="K299" i="1"/>
  <c r="J299" i="1"/>
  <c r="I299" i="1"/>
  <c r="H299" i="1" s="1"/>
  <c r="E299" i="1"/>
  <c r="ID298" i="1"/>
  <c r="IB298" i="1"/>
  <c r="IA298" i="1" s="1"/>
  <c r="HZ298" i="1"/>
  <c r="HV298" i="1"/>
  <c r="HT298" i="1"/>
  <c r="HS298" i="1" s="1"/>
  <c r="HN298" i="1"/>
  <c r="HJ298" i="1"/>
  <c r="GX298" i="1"/>
  <c r="GV298" i="1"/>
  <c r="GU298" i="1" s="1"/>
  <c r="FR298" i="1"/>
  <c r="FN298" i="1"/>
  <c r="FL298" i="1"/>
  <c r="FJ298" i="1"/>
  <c r="FD298" i="1"/>
  <c r="FV298" i="1" s="1"/>
  <c r="EY298" i="1"/>
  <c r="EX298" i="1"/>
  <c r="ET298" i="1"/>
  <c r="ES298" i="1" s="1"/>
  <c r="ER298" i="1"/>
  <c r="EP298" i="1"/>
  <c r="EN298" i="1"/>
  <c r="EJ298" i="1"/>
  <c r="DZ298" i="1"/>
  <c r="DY298" i="1"/>
  <c r="DV298" i="1"/>
  <c r="DU298" i="1" s="1"/>
  <c r="DT298" i="1"/>
  <c r="DQ298" i="1"/>
  <c r="DP298" i="1"/>
  <c r="DN298" i="1"/>
  <c r="DK298" i="1"/>
  <c r="DH298" i="1"/>
  <c r="DB298" i="1"/>
  <c r="CY298" i="1"/>
  <c r="CX298" i="1"/>
  <c r="CV298" i="1"/>
  <c r="CU298" i="1"/>
  <c r="CS298" i="1"/>
  <c r="CR298" i="1"/>
  <c r="CJ298" i="1"/>
  <c r="CI298" i="1"/>
  <c r="CD298" i="1"/>
  <c r="CC298" i="1"/>
  <c r="BX298" i="1"/>
  <c r="BW298" i="1"/>
  <c r="BU298" i="1"/>
  <c r="BJ298" i="1"/>
  <c r="BI298" i="1"/>
  <c r="BD298" i="1"/>
  <c r="BC298" i="1"/>
  <c r="BA298" i="1"/>
  <c r="AU298" i="1"/>
  <c r="AT298" i="1"/>
  <c r="AQ298" i="1"/>
  <c r="AP298" i="1"/>
  <c r="AN298" i="1"/>
  <c r="AM298" i="1"/>
  <c r="AI298" i="1"/>
  <c r="AH298" i="1"/>
  <c r="AE298" i="1"/>
  <c r="AD298" i="1"/>
  <c r="AB298" i="1"/>
  <c r="AA298" i="1"/>
  <c r="V298" i="1"/>
  <c r="U298" i="1"/>
  <c r="S298" i="1"/>
  <c r="R298" i="1"/>
  <c r="M298" i="1"/>
  <c r="L298" i="1"/>
  <c r="G298" i="1"/>
  <c r="F298" i="1"/>
  <c r="IA297" i="1"/>
  <c r="HW297" i="1"/>
  <c r="HS297" i="1"/>
  <c r="HO297" i="1"/>
  <c r="HK297" i="1"/>
  <c r="HG297" i="1"/>
  <c r="GU297" i="1"/>
  <c r="FP297" i="1"/>
  <c r="FK297" i="1"/>
  <c r="FC297" i="1"/>
  <c r="FT297" i="1" s="1"/>
  <c r="FA297" i="1"/>
  <c r="EZ297" i="1" s="1"/>
  <c r="EW297" i="1"/>
  <c r="ES297" i="1"/>
  <c r="EO297" i="1"/>
  <c r="EL297" i="1"/>
  <c r="EK297" i="1" s="1"/>
  <c r="EG297" i="1"/>
  <c r="EE297" i="1"/>
  <c r="DX297" i="1"/>
  <c r="DU297" i="1"/>
  <c r="DO297" i="1"/>
  <c r="DM297" i="1"/>
  <c r="DL297" i="1" s="1"/>
  <c r="DJ297" i="1"/>
  <c r="CZ297" i="1"/>
  <c r="CW297" i="1"/>
  <c r="CT297" i="1"/>
  <c r="CQ297" i="1"/>
  <c r="CM297" i="1"/>
  <c r="CP297" i="1" s="1"/>
  <c r="CN297" i="1" s="1"/>
  <c r="CH297" i="1"/>
  <c r="CB297" i="1"/>
  <c r="CA297" i="1"/>
  <c r="BZ297" i="1"/>
  <c r="BV297" i="1"/>
  <c r="CF297" i="1" s="1"/>
  <c r="BT297" i="1"/>
  <c r="BS297" i="1" s="1"/>
  <c r="BP297" i="1"/>
  <c r="BH297" i="1"/>
  <c r="BG297" i="1"/>
  <c r="BF297" i="1"/>
  <c r="BB297" i="1"/>
  <c r="AY297" i="1"/>
  <c r="BL297" i="1" s="1"/>
  <c r="AX297" i="1"/>
  <c r="AV297" i="1" s="1"/>
  <c r="AS297" i="1"/>
  <c r="AG297" i="1"/>
  <c r="AC297" i="1"/>
  <c r="Z297" i="1"/>
  <c r="Y297" i="1"/>
  <c r="X297" i="1"/>
  <c r="T297" i="1"/>
  <c r="Q297" i="1"/>
  <c r="P297" i="1"/>
  <c r="O297" i="1"/>
  <c r="K297" i="1"/>
  <c r="J297" i="1"/>
  <c r="I297" i="1"/>
  <c r="E297" i="1"/>
  <c r="IA296" i="1"/>
  <c r="HW296" i="1"/>
  <c r="HS296" i="1"/>
  <c r="HP296" i="1"/>
  <c r="HO296" i="1" s="1"/>
  <c r="HK296" i="1"/>
  <c r="HG296" i="1"/>
  <c r="GU296" i="1"/>
  <c r="FK296" i="1"/>
  <c r="FA296" i="1"/>
  <c r="EZ296" i="1" s="1"/>
  <c r="EW296" i="1"/>
  <c r="ES296" i="1"/>
  <c r="EO296" i="1"/>
  <c r="EH296" i="1"/>
  <c r="EG296" i="1" s="1"/>
  <c r="DX296" i="1"/>
  <c r="DU296" i="1"/>
  <c r="DO296" i="1"/>
  <c r="DM296" i="1"/>
  <c r="DL296" i="1" s="1"/>
  <c r="DJ296" i="1"/>
  <c r="DG296" i="1" s="1"/>
  <c r="DF296" i="1" s="1"/>
  <c r="CZ296" i="1"/>
  <c r="CW296" i="1"/>
  <c r="CT296" i="1"/>
  <c r="CQ296" i="1"/>
  <c r="CM296" i="1"/>
  <c r="CL296" i="1"/>
  <c r="CH296" i="1"/>
  <c r="CB296" i="1"/>
  <c r="CA296" i="1"/>
  <c r="BZ296" i="1"/>
  <c r="BV296" i="1"/>
  <c r="BT296" i="1"/>
  <c r="BS296" i="1" s="1"/>
  <c r="BP296" i="1"/>
  <c r="BH296" i="1"/>
  <c r="BG296" i="1"/>
  <c r="BF296" i="1"/>
  <c r="BB296" i="1"/>
  <c r="AY296" i="1"/>
  <c r="BL296" i="1" s="1"/>
  <c r="AX296" i="1"/>
  <c r="AW296" i="1"/>
  <c r="AS296" i="1"/>
  <c r="AG296" i="1"/>
  <c r="AF296" i="1" s="1"/>
  <c r="AR296" i="1" s="1"/>
  <c r="AC296" i="1"/>
  <c r="Z296" i="1"/>
  <c r="Y296" i="1"/>
  <c r="X296" i="1"/>
  <c r="T296" i="1"/>
  <c r="Q296" i="1"/>
  <c r="P296" i="1"/>
  <c r="O296" i="1"/>
  <c r="K296" i="1"/>
  <c r="J296" i="1"/>
  <c r="I296" i="1"/>
  <c r="E296" i="1"/>
  <c r="ID295" i="1"/>
  <c r="IB295" i="1"/>
  <c r="IA295" i="1" s="1"/>
  <c r="HZ295" i="1"/>
  <c r="HX295" i="1"/>
  <c r="HW295" i="1" s="1"/>
  <c r="HV295" i="1"/>
  <c r="HT295" i="1"/>
  <c r="HS295" i="1" s="1"/>
  <c r="HN295" i="1"/>
  <c r="HL295" i="1"/>
  <c r="HK295" i="1" s="1"/>
  <c r="HJ295" i="1"/>
  <c r="HH295" i="1"/>
  <c r="HG295" i="1" s="1"/>
  <c r="GX295" i="1"/>
  <c r="GV295" i="1"/>
  <c r="GU295" i="1" s="1"/>
  <c r="FR295" i="1"/>
  <c r="FN295" i="1"/>
  <c r="FL295" i="1"/>
  <c r="FJ295" i="1"/>
  <c r="EY295" i="1"/>
  <c r="EX295" i="1"/>
  <c r="ET295" i="1"/>
  <c r="ES295" i="1" s="1"/>
  <c r="ER295" i="1"/>
  <c r="EP295" i="1"/>
  <c r="EN295" i="1"/>
  <c r="EJ295" i="1"/>
  <c r="DZ295" i="1"/>
  <c r="DY295" i="1"/>
  <c r="DW295" i="1"/>
  <c r="DV295" i="1"/>
  <c r="DT295" i="1"/>
  <c r="DQ295" i="1"/>
  <c r="DP295" i="1"/>
  <c r="DN295" i="1"/>
  <c r="DK295" i="1"/>
  <c r="DH295" i="1"/>
  <c r="DB295" i="1"/>
  <c r="DA295" i="1"/>
  <c r="CY295" i="1"/>
  <c r="CX295" i="1"/>
  <c r="CV295" i="1"/>
  <c r="CU295" i="1"/>
  <c r="CS295" i="1"/>
  <c r="CR295" i="1"/>
  <c r="CJ295" i="1"/>
  <c r="CI295" i="1"/>
  <c r="CD295" i="1"/>
  <c r="CC295" i="1"/>
  <c r="BX295" i="1"/>
  <c r="BW295" i="1"/>
  <c r="BU295" i="1"/>
  <c r="BR295" i="1"/>
  <c r="BQ295" i="1"/>
  <c r="BO295" i="1"/>
  <c r="BN295" i="1"/>
  <c r="BM295" i="1"/>
  <c r="BK295" i="1"/>
  <c r="BJ295" i="1"/>
  <c r="BD295" i="1"/>
  <c r="BC295" i="1"/>
  <c r="BI295" i="1" s="1"/>
  <c r="BA295" i="1"/>
  <c r="AU295" i="1"/>
  <c r="AT295" i="1"/>
  <c r="AZ295" i="1" s="1"/>
  <c r="AQ295" i="1"/>
  <c r="AP295" i="1"/>
  <c r="AN295" i="1"/>
  <c r="AM295" i="1"/>
  <c r="AL295" i="1"/>
  <c r="AK295" i="1"/>
  <c r="AJ295" i="1"/>
  <c r="AI295" i="1"/>
  <c r="AH295" i="1"/>
  <c r="AE295" i="1"/>
  <c r="AD295" i="1"/>
  <c r="AB295" i="1"/>
  <c r="AA295" i="1"/>
  <c r="V295" i="1"/>
  <c r="U295" i="1"/>
  <c r="S295" i="1"/>
  <c r="R295" i="1"/>
  <c r="M295" i="1"/>
  <c r="L295" i="1"/>
  <c r="G295" i="1"/>
  <c r="F295" i="1"/>
  <c r="ID294" i="1"/>
  <c r="IB294" i="1"/>
  <c r="IA294" i="1" s="1"/>
  <c r="HZ294" i="1"/>
  <c r="HV294" i="1"/>
  <c r="HT294" i="1"/>
  <c r="HS294" i="1" s="1"/>
  <c r="HN294" i="1"/>
  <c r="HJ294" i="1"/>
  <c r="GX294" i="1"/>
  <c r="GV294" i="1"/>
  <c r="GU294" i="1" s="1"/>
  <c r="FR294" i="1"/>
  <c r="FN294" i="1"/>
  <c r="FJ294" i="1"/>
  <c r="FD294" i="1"/>
  <c r="FV294" i="1" s="1"/>
  <c r="EY294" i="1"/>
  <c r="EX294" i="1"/>
  <c r="ET294" i="1"/>
  <c r="ES294" i="1" s="1"/>
  <c r="ER294" i="1"/>
  <c r="EN294" i="1"/>
  <c r="EJ294" i="1"/>
  <c r="EH294" i="1"/>
  <c r="EG294" i="1" s="1"/>
  <c r="EC294" i="1"/>
  <c r="EB294" i="1"/>
  <c r="DZ294" i="1"/>
  <c r="DY294" i="1"/>
  <c r="DW294" i="1"/>
  <c r="DV294" i="1"/>
  <c r="DT294" i="1"/>
  <c r="DQ294" i="1"/>
  <c r="DP294" i="1"/>
  <c r="DN294" i="1"/>
  <c r="DK294" i="1"/>
  <c r="DH294" i="1"/>
  <c r="DB294" i="1"/>
  <c r="CY294" i="1"/>
  <c r="CX294" i="1"/>
  <c r="CV294" i="1"/>
  <c r="CU294" i="1"/>
  <c r="CS294" i="1"/>
  <c r="CR294" i="1"/>
  <c r="CJ294" i="1"/>
  <c r="CI294" i="1"/>
  <c r="CD294" i="1"/>
  <c r="CC294" i="1"/>
  <c r="BX294" i="1"/>
  <c r="BW294" i="1"/>
  <c r="BU294" i="1"/>
  <c r="BR294" i="1"/>
  <c r="BQ294" i="1"/>
  <c r="BO294" i="1"/>
  <c r="BN294" i="1"/>
  <c r="BM294" i="1"/>
  <c r="BK294" i="1"/>
  <c r="BJ294" i="1"/>
  <c r="BI294" i="1"/>
  <c r="BD294" i="1"/>
  <c r="BC294" i="1"/>
  <c r="BA294" i="1"/>
  <c r="AU294" i="1"/>
  <c r="AT294" i="1"/>
  <c r="AZ294" i="1" s="1"/>
  <c r="AQ294" i="1"/>
  <c r="AP294" i="1"/>
  <c r="AN294" i="1"/>
  <c r="AM294" i="1"/>
  <c r="AI294" i="1"/>
  <c r="AH294" i="1"/>
  <c r="AE294" i="1"/>
  <c r="AD294" i="1"/>
  <c r="AB294" i="1"/>
  <c r="AA294" i="1"/>
  <c r="V294" i="1"/>
  <c r="U294" i="1"/>
  <c r="S294" i="1"/>
  <c r="R294" i="1"/>
  <c r="M294" i="1"/>
  <c r="L294" i="1"/>
  <c r="G294" i="1"/>
  <c r="F294" i="1"/>
  <c r="ID293" i="1"/>
  <c r="HZ293" i="1"/>
  <c r="HV293" i="1"/>
  <c r="HT293" i="1"/>
  <c r="HS293" i="1" s="1"/>
  <c r="HN293" i="1"/>
  <c r="HJ293" i="1"/>
  <c r="GX293" i="1"/>
  <c r="GV293" i="1"/>
  <c r="GU293" i="1" s="1"/>
  <c r="FR293" i="1"/>
  <c r="FN293" i="1"/>
  <c r="FL293" i="1"/>
  <c r="FJ293" i="1"/>
  <c r="EY293" i="1"/>
  <c r="EX293" i="1"/>
  <c r="ET293" i="1"/>
  <c r="ES293" i="1" s="1"/>
  <c r="ER293" i="1"/>
  <c r="EP293" i="1"/>
  <c r="EN293" i="1"/>
  <c r="EJ293" i="1"/>
  <c r="EC293" i="1"/>
  <c r="DZ293" i="1"/>
  <c r="DY293" i="1"/>
  <c r="DW293" i="1"/>
  <c r="DV293" i="1"/>
  <c r="DT293" i="1"/>
  <c r="DQ293" i="1"/>
  <c r="DP293" i="1"/>
  <c r="DN293" i="1"/>
  <c r="DK293" i="1"/>
  <c r="DH293" i="1"/>
  <c r="DB293" i="1"/>
  <c r="DA293" i="1"/>
  <c r="CY293" i="1"/>
  <c r="CX293" i="1"/>
  <c r="CV293" i="1"/>
  <c r="CS293" i="1"/>
  <c r="CR293" i="1"/>
  <c r="CJ293" i="1"/>
  <c r="CI293" i="1"/>
  <c r="CD293" i="1"/>
  <c r="CC293" i="1"/>
  <c r="BX293" i="1"/>
  <c r="BW293" i="1"/>
  <c r="BU293" i="1"/>
  <c r="BR293" i="1"/>
  <c r="BQ293" i="1"/>
  <c r="BO293" i="1"/>
  <c r="BN293" i="1"/>
  <c r="BM293" i="1"/>
  <c r="BK293" i="1"/>
  <c r="BJ293" i="1"/>
  <c r="BI293" i="1"/>
  <c r="BD293" i="1"/>
  <c r="BC293" i="1"/>
  <c r="BA293" i="1"/>
  <c r="AU293" i="1"/>
  <c r="AT293" i="1"/>
  <c r="AQ293" i="1"/>
  <c r="AP293" i="1"/>
  <c r="AN293" i="1"/>
  <c r="AM293" i="1"/>
  <c r="AI293" i="1"/>
  <c r="AH293" i="1"/>
  <c r="AE293" i="1"/>
  <c r="AD293" i="1"/>
  <c r="AB293" i="1"/>
  <c r="AA293" i="1"/>
  <c r="V293" i="1"/>
  <c r="U293" i="1"/>
  <c r="S293" i="1"/>
  <c r="R293" i="1"/>
  <c r="M293" i="1"/>
  <c r="L293" i="1"/>
  <c r="G293" i="1"/>
  <c r="F293" i="1"/>
  <c r="HW292" i="1"/>
  <c r="HR292" i="1"/>
  <c r="HR291" i="1" s="1"/>
  <c r="HR290" i="1" s="1"/>
  <c r="HK292" i="1"/>
  <c r="EV292" i="1"/>
  <c r="EF292" i="1"/>
  <c r="DE292" i="1"/>
  <c r="IC291" i="1"/>
  <c r="HY291" i="1"/>
  <c r="HU291" i="1"/>
  <c r="HQ291" i="1"/>
  <c r="HM291" i="1"/>
  <c r="HI291" i="1"/>
  <c r="HI290" i="1" s="1"/>
  <c r="GW291" i="1"/>
  <c r="GW290" i="1" s="1"/>
  <c r="FQ291" i="1"/>
  <c r="FK291" i="1"/>
  <c r="FI291" i="1"/>
  <c r="FE291" i="1"/>
  <c r="FE290" i="1" s="1"/>
  <c r="FX290" i="1" s="1"/>
  <c r="EI291" i="1"/>
  <c r="EI290" i="1" s="1"/>
  <c r="FN290" i="1"/>
  <c r="FN354" i="1" s="1"/>
  <c r="FM290" i="1"/>
  <c r="FM354" i="1" s="1"/>
  <c r="FL290" i="1"/>
  <c r="FJ290" i="1"/>
  <c r="FJ354" i="1" s="1"/>
  <c r="FF290" i="1"/>
  <c r="FB290" i="1"/>
  <c r="FB354" i="1" s="1"/>
  <c r="ER290" i="1"/>
  <c r="ER354" i="1" s="1"/>
  <c r="EQ290" i="1"/>
  <c r="EQ354" i="1" s="1"/>
  <c r="EN290" i="1"/>
  <c r="IC288" i="1"/>
  <c r="IB288" i="1"/>
  <c r="HY288" i="1"/>
  <c r="HX288" i="1"/>
  <c r="HU288" i="1"/>
  <c r="HT288" i="1"/>
  <c r="HQ288" i="1"/>
  <c r="HP288" i="1"/>
  <c r="HM288" i="1"/>
  <c r="HL288" i="1"/>
  <c r="HI288" i="1"/>
  <c r="HH288" i="1"/>
  <c r="GW288" i="1"/>
  <c r="GV288" i="1"/>
  <c r="FQ288" i="1"/>
  <c r="FP288" i="1"/>
  <c r="FL288" i="1"/>
  <c r="FI288" i="1"/>
  <c r="FH288" i="1"/>
  <c r="FE288" i="1"/>
  <c r="FD288" i="1"/>
  <c r="FB288" i="1"/>
  <c r="FA288" i="1"/>
  <c r="EZ288" i="1"/>
  <c r="EX288" i="1"/>
  <c r="EU288" i="1"/>
  <c r="ET288" i="1"/>
  <c r="EP288" i="1"/>
  <c r="EL288" i="1"/>
  <c r="EI288" i="1"/>
  <c r="EH288" i="1"/>
  <c r="EF288" i="1"/>
  <c r="EE288" i="1"/>
  <c r="ED288" i="1"/>
  <c r="EB288" i="1"/>
  <c r="DY288" i="1"/>
  <c r="DV288" i="1"/>
  <c r="DS288" i="1"/>
  <c r="DP288" i="1"/>
  <c r="DM288" i="1"/>
  <c r="DJ288" i="1"/>
  <c r="DG288" i="1"/>
  <c r="DD288" i="1"/>
  <c r="DA288" i="1"/>
  <c r="CX288" i="1"/>
  <c r="CU288" i="1"/>
  <c r="CR288" i="1"/>
  <c r="CL288" i="1"/>
  <c r="CI288" i="1"/>
  <c r="CC288" i="1"/>
  <c r="BZ288" i="1"/>
  <c r="BW288" i="1"/>
  <c r="BT288" i="1"/>
  <c r="BQ288" i="1"/>
  <c r="BN288" i="1"/>
  <c r="BI288" i="1"/>
  <c r="BG288" i="1"/>
  <c r="BD288" i="1"/>
  <c r="AZ288" i="1"/>
  <c r="AW288" i="1"/>
  <c r="AT288" i="1"/>
  <c r="AQ288" i="1"/>
  <c r="AP288" i="1"/>
  <c r="AN288" i="1"/>
  <c r="AM288" i="1"/>
  <c r="AJ288" i="1"/>
  <c r="AI288" i="1"/>
  <c r="AG288" i="1"/>
  <c r="AD288" i="1"/>
  <c r="AA288" i="1"/>
  <c r="Y288" i="1"/>
  <c r="V288" i="1"/>
  <c r="U288" i="1"/>
  <c r="S288" i="1"/>
  <c r="P288" i="1"/>
  <c r="M288" i="1"/>
  <c r="J288" i="1"/>
  <c r="G288" i="1"/>
  <c r="ID287" i="1"/>
  <c r="IC287" i="1"/>
  <c r="HZ287" i="1"/>
  <c r="HY287" i="1"/>
  <c r="HV287" i="1"/>
  <c r="HU287" i="1"/>
  <c r="HR287" i="1"/>
  <c r="HQ287" i="1"/>
  <c r="HN287" i="1"/>
  <c r="HM287" i="1"/>
  <c r="HJ287" i="1"/>
  <c r="HI287" i="1"/>
  <c r="GX287" i="1"/>
  <c r="GW287" i="1"/>
  <c r="FR287" i="1"/>
  <c r="FQ287" i="1"/>
  <c r="FP287" i="1"/>
  <c r="FI287" i="1"/>
  <c r="EV287" i="1"/>
  <c r="EU287" i="1"/>
  <c r="ET287" i="1"/>
  <c r="EN287" i="1"/>
  <c r="EM287" i="1"/>
  <c r="EL287" i="1"/>
  <c r="EJ287" i="1"/>
  <c r="EI287" i="1"/>
  <c r="DD285" i="1"/>
  <c r="HO284" i="1"/>
  <c r="GU284" i="1"/>
  <c r="FO284" i="1"/>
  <c r="FC284" i="1"/>
  <c r="HO283" i="1"/>
  <c r="GU283" i="1"/>
  <c r="FO283" i="1"/>
  <c r="FC283" i="1"/>
  <c r="IB282" i="1"/>
  <c r="HS282" i="1"/>
  <c r="HP282" i="1"/>
  <c r="HO282" i="1" s="1"/>
  <c r="HK282" i="1"/>
  <c r="GV282" i="1"/>
  <c r="GU282" i="1" s="1"/>
  <c r="FP282" i="1"/>
  <c r="FO282" i="1" s="1"/>
  <c r="EG282" i="1"/>
  <c r="IA281" i="1"/>
  <c r="HW281" i="1"/>
  <c r="HS281" i="1"/>
  <c r="HO281" i="1"/>
  <c r="HK281" i="1"/>
  <c r="HG281" i="1"/>
  <c r="GU281" i="1"/>
  <c r="FO281" i="1"/>
  <c r="FK281" i="1"/>
  <c r="FH281" i="1"/>
  <c r="FG281" i="1" s="1"/>
  <c r="FC281" i="1"/>
  <c r="ET281" i="1"/>
  <c r="ES281" i="1" s="1"/>
  <c r="EO281" i="1"/>
  <c r="EG281" i="1"/>
  <c r="IA280" i="1"/>
  <c r="HW280" i="1"/>
  <c r="HS280" i="1"/>
  <c r="HO280" i="1"/>
  <c r="HK280" i="1"/>
  <c r="HG280" i="1"/>
  <c r="GU280" i="1"/>
  <c r="FO280" i="1"/>
  <c r="FL280" i="1"/>
  <c r="FG280" i="1"/>
  <c r="FC280" i="1"/>
  <c r="ET280" i="1"/>
  <c r="EP280" i="1"/>
  <c r="EG280" i="1"/>
  <c r="ID279" i="1"/>
  <c r="IC279" i="1"/>
  <c r="HZ279" i="1"/>
  <c r="HY279" i="1"/>
  <c r="HV279" i="1"/>
  <c r="HU279" i="1"/>
  <c r="HT279" i="1"/>
  <c r="HS279" i="1" s="1"/>
  <c r="HR279" i="1"/>
  <c r="HQ279" i="1"/>
  <c r="HN279" i="1"/>
  <c r="HM279" i="1"/>
  <c r="HL279" i="1"/>
  <c r="HK279" i="1" s="1"/>
  <c r="HJ279" i="1"/>
  <c r="HI279" i="1"/>
  <c r="GX279" i="1"/>
  <c r="GW279" i="1"/>
  <c r="FR279" i="1"/>
  <c r="FQ279" i="1"/>
  <c r="FN279" i="1"/>
  <c r="FM279" i="1"/>
  <c r="FJ279" i="1"/>
  <c r="FI279" i="1"/>
  <c r="FF279" i="1"/>
  <c r="FE279" i="1"/>
  <c r="EV279" i="1"/>
  <c r="EU279" i="1"/>
  <c r="ER279" i="1"/>
  <c r="EQ279" i="1"/>
  <c r="EN279" i="1"/>
  <c r="EM279" i="1"/>
  <c r="EJ279" i="1"/>
  <c r="EI279" i="1"/>
  <c r="EH279" i="1"/>
  <c r="DI278" i="1"/>
  <c r="DG278" i="1"/>
  <c r="DF278" i="1" s="1"/>
  <c r="CW278" i="1"/>
  <c r="ID277" i="1"/>
  <c r="IB277" i="1"/>
  <c r="IA277" i="1" s="1"/>
  <c r="HZ277" i="1"/>
  <c r="HX277" i="1"/>
  <c r="HW277" i="1" s="1"/>
  <c r="HV277" i="1"/>
  <c r="HT277" i="1"/>
  <c r="HS277" i="1" s="1"/>
  <c r="HR277" i="1"/>
  <c r="HP277" i="1"/>
  <c r="HO277" i="1" s="1"/>
  <c r="HN277" i="1"/>
  <c r="HL277" i="1"/>
  <c r="HK277" i="1" s="1"/>
  <c r="HJ277" i="1"/>
  <c r="HH277" i="1"/>
  <c r="HG277" i="1" s="1"/>
  <c r="GX277" i="1"/>
  <c r="GV277" i="1"/>
  <c r="GU277" i="1" s="1"/>
  <c r="FO277" i="1"/>
  <c r="FJ277" i="1" s="1"/>
  <c r="FH277" i="1" s="1"/>
  <c r="FG277" i="1" s="1"/>
  <c r="FN277" i="1"/>
  <c r="FL277" i="1"/>
  <c r="FK277" i="1" s="1"/>
  <c r="FF277" i="1"/>
  <c r="FD277" i="1"/>
  <c r="EV277" i="1"/>
  <c r="ET277" i="1"/>
  <c r="ES277" i="1" s="1"/>
  <c r="ER277" i="1"/>
  <c r="EP277" i="1"/>
  <c r="EO277" i="1" s="1"/>
  <c r="EN277" i="1"/>
  <c r="EL277" i="1"/>
  <c r="EK277" i="1" s="1"/>
  <c r="EG277" i="1"/>
  <c r="EF277" i="1" s="1"/>
  <c r="EE277" i="1" s="1"/>
  <c r="ED277" i="1" s="1"/>
  <c r="EC277" i="1" s="1"/>
  <c r="EB277" i="1" s="1"/>
  <c r="DJ277" i="1"/>
  <c r="DJ22" i="1" s="1"/>
  <c r="CW277" i="1"/>
  <c r="IA276" i="1"/>
  <c r="HS276" i="1"/>
  <c r="HO276" i="1"/>
  <c r="HL276" i="1"/>
  <c r="HH276" i="1"/>
  <c r="HG276" i="1" s="1"/>
  <c r="GU276" i="1"/>
  <c r="FP276" i="1"/>
  <c r="FH276" i="1" s="1"/>
  <c r="FG276" i="1" s="1"/>
  <c r="FK276" i="1"/>
  <c r="FC276" i="1"/>
  <c r="EW276" i="1"/>
  <c r="ES276" i="1"/>
  <c r="EL276" i="1"/>
  <c r="EG276" i="1"/>
  <c r="EE276" i="1"/>
  <c r="ED276" i="1" s="1"/>
  <c r="DX276" i="1"/>
  <c r="DU276" i="1"/>
  <c r="DO276" i="1"/>
  <c r="DM276" i="1"/>
  <c r="DJ276" i="1"/>
  <c r="DI276" i="1" s="1"/>
  <c r="CZ276" i="1"/>
  <c r="CW276" i="1"/>
  <c r="CU276" i="1"/>
  <c r="CT276" i="1" s="1"/>
  <c r="CQ276" i="1"/>
  <c r="CK276" i="1"/>
  <c r="CH276" i="1"/>
  <c r="BY276" i="1"/>
  <c r="BV276" i="1"/>
  <c r="CF276" i="1" s="1"/>
  <c r="BP276" i="1"/>
  <c r="BP269" i="1" s="1"/>
  <c r="BG276" i="1"/>
  <c r="BF276" i="1"/>
  <c r="BB276" i="1"/>
  <c r="AV276" i="1"/>
  <c r="AT276" i="1"/>
  <c r="AZ276" i="1" s="1"/>
  <c r="AG276" i="1"/>
  <c r="AF276" i="1" s="1"/>
  <c r="AC276" i="1"/>
  <c r="Z276" i="1"/>
  <c r="AK276" i="1" s="1"/>
  <c r="Y276" i="1"/>
  <c r="X276" i="1"/>
  <c r="T276" i="1"/>
  <c r="Q276" i="1"/>
  <c r="P276" i="1"/>
  <c r="O276" i="1"/>
  <c r="K276" i="1"/>
  <c r="J276" i="1"/>
  <c r="I276" i="1"/>
  <c r="E276" i="1"/>
  <c r="FO275" i="1"/>
  <c r="FG275" i="1"/>
  <c r="FC275" i="1"/>
  <c r="ES275" i="1"/>
  <c r="EK275" i="1"/>
  <c r="EG275" i="1"/>
  <c r="ID274" i="1"/>
  <c r="HW274" i="1"/>
  <c r="HS274" i="1"/>
  <c r="HO274" i="1"/>
  <c r="HN274" i="1"/>
  <c r="HJ274" i="1"/>
  <c r="GU274" i="1"/>
  <c r="FR274" i="1"/>
  <c r="EW274" i="1"/>
  <c r="EG274" i="1"/>
  <c r="EF274" i="1"/>
  <c r="EE274" i="1"/>
  <c r="DU274" i="1"/>
  <c r="DL274" i="1"/>
  <c r="DK274" i="1"/>
  <c r="DT274" i="1" s="1"/>
  <c r="CW274" i="1"/>
  <c r="FP273" i="1"/>
  <c r="FC273" i="1"/>
  <c r="ES273" i="1"/>
  <c r="EK273" i="1"/>
  <c r="EG273" i="1"/>
  <c r="IA272" i="1"/>
  <c r="HS272" i="1"/>
  <c r="HO272" i="1"/>
  <c r="HL272" i="1"/>
  <c r="HH272" i="1"/>
  <c r="HG272" i="1" s="1"/>
  <c r="GU272" i="1"/>
  <c r="FO272" i="1"/>
  <c r="FK272" i="1"/>
  <c r="FG272" i="1"/>
  <c r="FC272" i="1"/>
  <c r="FA272" i="1"/>
  <c r="EW272" i="1"/>
  <c r="ES272" i="1"/>
  <c r="EO272" i="1"/>
  <c r="EL272" i="1"/>
  <c r="EK272" i="1" s="1"/>
  <c r="EG272" i="1"/>
  <c r="EE272" i="1"/>
  <c r="ED272" i="1"/>
  <c r="DX272" i="1"/>
  <c r="DU272" i="1"/>
  <c r="DS272" i="1"/>
  <c r="DO272" i="1"/>
  <c r="DL272" i="1"/>
  <c r="DI272" i="1"/>
  <c r="DG272" i="1"/>
  <c r="DF272" i="1" s="1"/>
  <c r="CZ272" i="1"/>
  <c r="CW272" i="1"/>
  <c r="CT272" i="1"/>
  <c r="CQ272" i="1"/>
  <c r="CM272" i="1"/>
  <c r="CL272" i="1"/>
  <c r="CH272" i="1"/>
  <c r="CB272" i="1"/>
  <c r="CA272" i="1"/>
  <c r="BV272" i="1"/>
  <c r="BG272" i="1"/>
  <c r="BF272" i="1"/>
  <c r="BB272" i="1"/>
  <c r="AX272" i="1"/>
  <c r="AV272" i="1" s="1"/>
  <c r="AT272" i="1"/>
  <c r="AZ272" i="1" s="1"/>
  <c r="AG272" i="1"/>
  <c r="AF272" i="1" s="1"/>
  <c r="AC272" i="1"/>
  <c r="Z272" i="1"/>
  <c r="AK272" i="1" s="1"/>
  <c r="Y272" i="1"/>
  <c r="X272" i="1"/>
  <c r="T272" i="1"/>
  <c r="Q272" i="1"/>
  <c r="P272" i="1"/>
  <c r="O272" i="1"/>
  <c r="K272" i="1"/>
  <c r="J272" i="1"/>
  <c r="I272" i="1"/>
  <c r="E272" i="1"/>
  <c r="IA271" i="1"/>
  <c r="HS271" i="1"/>
  <c r="GU271" i="1"/>
  <c r="FO271" i="1"/>
  <c r="FH271" i="1"/>
  <c r="FG271" i="1" s="1"/>
  <c r="FC271" i="1"/>
  <c r="ES271" i="1"/>
  <c r="EL271" i="1"/>
  <c r="EK271" i="1" s="1"/>
  <c r="EG271" i="1"/>
  <c r="IB270" i="1"/>
  <c r="IB269" i="1" s="1"/>
  <c r="HU270" i="1"/>
  <c r="IC270" i="1" s="1"/>
  <c r="IC269" i="1" s="1"/>
  <c r="HP270" i="1"/>
  <c r="HP269" i="1" s="1"/>
  <c r="HL270" i="1"/>
  <c r="GW270" i="1"/>
  <c r="HQ270" i="1" s="1"/>
  <c r="HQ269" i="1" s="1"/>
  <c r="FQ270" i="1"/>
  <c r="FQ269" i="1" s="1"/>
  <c r="FP270" i="1"/>
  <c r="FK270" i="1"/>
  <c r="FC270" i="1"/>
  <c r="EW270" i="1"/>
  <c r="EO270" i="1"/>
  <c r="EM270" i="1"/>
  <c r="EH270" i="1"/>
  <c r="DX270" i="1"/>
  <c r="DU270" i="1"/>
  <c r="DO270" i="1"/>
  <c r="DL270" i="1"/>
  <c r="DJ270" i="1"/>
  <c r="CZ270" i="1"/>
  <c r="CW270" i="1"/>
  <c r="CQ270" i="1"/>
  <c r="CM270" i="1"/>
  <c r="CH270" i="1"/>
  <c r="CL270" i="1" s="1"/>
  <c r="CB270" i="1"/>
  <c r="CA270" i="1"/>
  <c r="BY270" i="1" s="1"/>
  <c r="BV270" i="1"/>
  <c r="CF270" i="1" s="1"/>
  <c r="BT270" i="1"/>
  <c r="BS270" i="1" s="1"/>
  <c r="BH270" i="1"/>
  <c r="BG270" i="1"/>
  <c r="BB270" i="1"/>
  <c r="AX270" i="1"/>
  <c r="AT270" i="1"/>
  <c r="AZ270" i="1" s="1"/>
  <c r="AY270" i="1" s="1"/>
  <c r="AG270" i="1"/>
  <c r="AC270" i="1"/>
  <c r="Z270" i="1"/>
  <c r="Y270" i="1"/>
  <c r="X270" i="1"/>
  <c r="T270" i="1"/>
  <c r="Q270" i="1"/>
  <c r="P270" i="1"/>
  <c r="O270" i="1"/>
  <c r="K270" i="1"/>
  <c r="J270" i="1"/>
  <c r="I270" i="1"/>
  <c r="E270" i="1"/>
  <c r="HZ269" i="1"/>
  <c r="HY269" i="1"/>
  <c r="HV269" i="1"/>
  <c r="HT269" i="1"/>
  <c r="HR269" i="1"/>
  <c r="HM269" i="1"/>
  <c r="HI269" i="1"/>
  <c r="HF269" i="1"/>
  <c r="HE269" i="1"/>
  <c r="HD269" i="1"/>
  <c r="HC269" i="1"/>
  <c r="HB269" i="1"/>
  <c r="HA269" i="1"/>
  <c r="GZ269" i="1"/>
  <c r="GY269" i="1"/>
  <c r="GX269" i="1"/>
  <c r="GV269" i="1"/>
  <c r="FN269" i="1"/>
  <c r="FM269" i="1"/>
  <c r="FL269" i="1"/>
  <c r="FI269" i="1"/>
  <c r="FE269" i="1"/>
  <c r="FD269" i="1"/>
  <c r="EY269" i="1"/>
  <c r="EX269" i="1"/>
  <c r="EU269" i="1"/>
  <c r="EJ269" i="1"/>
  <c r="EI269" i="1"/>
  <c r="DZ269" i="1"/>
  <c r="DY269" i="1"/>
  <c r="DW269" i="1"/>
  <c r="DV269" i="1"/>
  <c r="DP269" i="1"/>
  <c r="DB269" i="1"/>
  <c r="DA269" i="1"/>
  <c r="CY269" i="1"/>
  <c r="CX269" i="1"/>
  <c r="CV269" i="1"/>
  <c r="CS269" i="1"/>
  <c r="CR269" i="1"/>
  <c r="CP269" i="1"/>
  <c r="CO269" i="1"/>
  <c r="CN269" i="1"/>
  <c r="CJ269" i="1"/>
  <c r="CI269" i="1"/>
  <c r="CD269" i="1"/>
  <c r="BX269" i="1"/>
  <c r="BW269" i="1"/>
  <c r="BU269" i="1"/>
  <c r="BR269" i="1"/>
  <c r="BQ269" i="1"/>
  <c r="BO269" i="1"/>
  <c r="BN269" i="1"/>
  <c r="BM269" i="1"/>
  <c r="BJ269" i="1"/>
  <c r="BD269" i="1"/>
  <c r="BC269" i="1"/>
  <c r="BA269" i="1"/>
  <c r="AW269" i="1"/>
  <c r="AU269" i="1"/>
  <c r="AQ269" i="1"/>
  <c r="AP269" i="1"/>
  <c r="AN269" i="1"/>
  <c r="AM269" i="1"/>
  <c r="AJ269" i="1"/>
  <c r="AI269" i="1"/>
  <c r="AH269" i="1"/>
  <c r="AE269" i="1"/>
  <c r="AD269" i="1"/>
  <c r="AB269" i="1"/>
  <c r="AA269" i="1"/>
  <c r="V269" i="1"/>
  <c r="U269" i="1"/>
  <c r="S269" i="1"/>
  <c r="R269" i="1"/>
  <c r="M269" i="1"/>
  <c r="L269" i="1"/>
  <c r="G269" i="1"/>
  <c r="F269" i="1"/>
  <c r="EV268" i="1"/>
  <c r="DX268" i="1"/>
  <c r="DU268" i="1"/>
  <c r="CZ268" i="1"/>
  <c r="CT268" i="1"/>
  <c r="CQ268" i="1"/>
  <c r="CM268" i="1"/>
  <c r="CK268" i="1" s="1"/>
  <c r="CH268" i="1"/>
  <c r="CB268" i="1"/>
  <c r="CA268" i="1"/>
  <c r="BY268" i="1" s="1"/>
  <c r="BV268" i="1"/>
  <c r="CF268" i="1" s="1"/>
  <c r="BH268" i="1"/>
  <c r="BG268" i="1"/>
  <c r="BE268" i="1" s="1"/>
  <c r="BB268" i="1"/>
  <c r="AY268" i="1"/>
  <c r="BL268" i="1" s="1"/>
  <c r="AX268" i="1"/>
  <c r="AV268" i="1" s="1"/>
  <c r="AS268" i="1"/>
  <c r="AF268" i="1"/>
  <c r="AC268" i="1"/>
  <c r="Z268" i="1"/>
  <c r="AK268" i="1" s="1"/>
  <c r="AL268" i="1" s="1"/>
  <c r="Y268" i="1"/>
  <c r="W268" i="1" s="1"/>
  <c r="T268" i="1"/>
  <c r="Q268" i="1"/>
  <c r="P268" i="1"/>
  <c r="N268" i="1" s="1"/>
  <c r="K268" i="1"/>
  <c r="J268" i="1"/>
  <c r="H268" i="1" s="1"/>
  <c r="E268" i="1"/>
  <c r="ID267" i="1"/>
  <c r="HZ267" i="1" s="1"/>
  <c r="HZ263" i="1" s="1"/>
  <c r="HS267" i="1"/>
  <c r="GX267" i="1"/>
  <c r="GX263" i="1" s="1"/>
  <c r="GX288" i="1" s="1"/>
  <c r="FO267" i="1"/>
  <c r="FK267" i="1"/>
  <c r="FJ267" i="1"/>
  <c r="FC267" i="1"/>
  <c r="ER267" i="1"/>
  <c r="EO267" i="1" s="1"/>
  <c r="EK267" i="1"/>
  <c r="EJ267" i="1"/>
  <c r="EJ263" i="1" s="1"/>
  <c r="EC267" i="1"/>
  <c r="DX267" i="1"/>
  <c r="DU267" i="1"/>
  <c r="DO267" i="1"/>
  <c r="DL267" i="1"/>
  <c r="DK267" i="1"/>
  <c r="DT267" i="1" s="1"/>
  <c r="DR267" i="1" s="1"/>
  <c r="DE267" i="1"/>
  <c r="CZ267" i="1"/>
  <c r="CW267" i="1"/>
  <c r="CV267" i="1"/>
  <c r="CT267" i="1" s="1"/>
  <c r="CQ267" i="1"/>
  <c r="CP267" i="1"/>
  <c r="CP266" i="1" s="1"/>
  <c r="CO267" i="1"/>
  <c r="CN267" i="1"/>
  <c r="CN266" i="1" s="1"/>
  <c r="CJ267" i="1"/>
  <c r="CD267" i="1"/>
  <c r="BV267" i="1"/>
  <c r="CF267" i="1" s="1"/>
  <c r="BU267" i="1"/>
  <c r="BH267" i="1"/>
  <c r="BB267" i="1"/>
  <c r="AV267" i="1"/>
  <c r="AU267" i="1"/>
  <c r="AH267" i="1"/>
  <c r="AF267" i="1" s="1"/>
  <c r="AC267" i="1"/>
  <c r="Z267" i="1"/>
  <c r="AK267" i="1" s="1"/>
  <c r="Y267" i="1"/>
  <c r="W267" i="1" s="1"/>
  <c r="T267" i="1"/>
  <c r="S267" i="1"/>
  <c r="K267" i="1"/>
  <c r="J267" i="1"/>
  <c r="H267" i="1" s="1"/>
  <c r="E267" i="1"/>
  <c r="FR266" i="1"/>
  <c r="FN266" i="1"/>
  <c r="EJ266" i="1"/>
  <c r="EV266" i="1" s="1"/>
  <c r="DT266" i="1"/>
  <c r="CT266" i="1"/>
  <c r="CQ266" i="1"/>
  <c r="CJ266" i="1"/>
  <c r="CH266" i="1" s="1"/>
  <c r="CM266" i="1" s="1"/>
  <c r="CK266" i="1" s="1"/>
  <c r="CB266" i="1"/>
  <c r="CA266" i="1"/>
  <c r="BY266" i="1" s="1"/>
  <c r="BV266" i="1"/>
  <c r="CF266" i="1" s="1"/>
  <c r="BJ266" i="1"/>
  <c r="BU266" i="1" s="1"/>
  <c r="BS266" i="1" s="1"/>
  <c r="BH266" i="1"/>
  <c r="BB266" i="1"/>
  <c r="AY266" i="1"/>
  <c r="BL266" i="1" s="1"/>
  <c r="AU266" i="1"/>
  <c r="AF266" i="1"/>
  <c r="AR266" i="1" s="1"/>
  <c r="AC266" i="1"/>
  <c r="Z266" i="1"/>
  <c r="AK266" i="1" s="1"/>
  <c r="AL266" i="1" s="1"/>
  <c r="Y266" i="1"/>
  <c r="W266" i="1" s="1"/>
  <c r="T266" i="1"/>
  <c r="Q266" i="1"/>
  <c r="P266" i="1"/>
  <c r="N266" i="1" s="1"/>
  <c r="K266" i="1"/>
  <c r="J266" i="1"/>
  <c r="H266" i="1" s="1"/>
  <c r="E266" i="1"/>
  <c r="FR265" i="1"/>
  <c r="FN265" i="1"/>
  <c r="EJ265" i="1"/>
  <c r="EV265" i="1" s="1"/>
  <c r="DT265" i="1"/>
  <c r="CT265" i="1"/>
  <c r="CQ265" i="1"/>
  <c r="CJ265" i="1"/>
  <c r="CH265" i="1" s="1"/>
  <c r="CM265" i="1" s="1"/>
  <c r="CK265" i="1" s="1"/>
  <c r="CB265" i="1"/>
  <c r="CA265" i="1"/>
  <c r="BY265" i="1" s="1"/>
  <c r="BV265" i="1"/>
  <c r="CF265" i="1" s="1"/>
  <c r="BJ265" i="1"/>
  <c r="BU265" i="1" s="1"/>
  <c r="BS265" i="1" s="1"/>
  <c r="BH265" i="1"/>
  <c r="BB265" i="1"/>
  <c r="AY265" i="1"/>
  <c r="BL265" i="1" s="1"/>
  <c r="AU265" i="1"/>
  <c r="BA265" i="1" s="1"/>
  <c r="AF265" i="1"/>
  <c r="AR265" i="1" s="1"/>
  <c r="AC265" i="1"/>
  <c r="Z265" i="1"/>
  <c r="AK265" i="1" s="1"/>
  <c r="AL265" i="1" s="1"/>
  <c r="Y265" i="1"/>
  <c r="W265" i="1" s="1"/>
  <c r="T265" i="1"/>
  <c r="Q265" i="1"/>
  <c r="P265" i="1"/>
  <c r="N265" i="1" s="1"/>
  <c r="K265" i="1"/>
  <c r="J265" i="1"/>
  <c r="H265" i="1" s="1"/>
  <c r="E265" i="1"/>
  <c r="IA264" i="1"/>
  <c r="HS264" i="1"/>
  <c r="HR264" i="1"/>
  <c r="HO264" i="1" s="1"/>
  <c r="GU264" i="1"/>
  <c r="FO264" i="1"/>
  <c r="FK264" i="1"/>
  <c r="FG264" i="1"/>
  <c r="FC264" i="1"/>
  <c r="EY264" i="1"/>
  <c r="ES264" i="1"/>
  <c r="EN264" i="1"/>
  <c r="ER264" i="1" s="1"/>
  <c r="EG264" i="1"/>
  <c r="DX264" i="1"/>
  <c r="EW264" i="1" s="1"/>
  <c r="DU264" i="1"/>
  <c r="DT264" i="1"/>
  <c r="DR264" i="1" s="1"/>
  <c r="DO264" i="1"/>
  <c r="DL264" i="1"/>
  <c r="DI264" i="1"/>
  <c r="DF264" i="1"/>
  <c r="CZ264" i="1"/>
  <c r="CW264" i="1"/>
  <c r="CQ264" i="1"/>
  <c r="CH264" i="1"/>
  <c r="CM264" i="1" s="1"/>
  <c r="CK264" i="1" s="1"/>
  <c r="CD264" i="1"/>
  <c r="BX264" i="1"/>
  <c r="BU264" i="1"/>
  <c r="BS264" i="1" s="1"/>
  <c r="BH264" i="1"/>
  <c r="BB264" i="1"/>
  <c r="AV264" i="1"/>
  <c r="AU264" i="1"/>
  <c r="AF264" i="1"/>
  <c r="AR264" i="1" s="1"/>
  <c r="AC264" i="1"/>
  <c r="Z264" i="1"/>
  <c r="AK264" i="1" s="1"/>
  <c r="AL264" i="1" s="1"/>
  <c r="Y264" i="1"/>
  <c r="T264" i="1"/>
  <c r="S264" i="1"/>
  <c r="M264" i="1"/>
  <c r="G264" i="1"/>
  <c r="HV263" i="1"/>
  <c r="HV288" i="1" s="1"/>
  <c r="HJ263" i="1"/>
  <c r="HJ288" i="1" s="1"/>
  <c r="HG263" i="1"/>
  <c r="HG288" i="1" s="1"/>
  <c r="FR263" i="1"/>
  <c r="FN263" i="1"/>
  <c r="FN288" i="1" s="1"/>
  <c r="FL263" i="1"/>
  <c r="FH263" i="1"/>
  <c r="FF263" i="1"/>
  <c r="EP263" i="1"/>
  <c r="EL263" i="1"/>
  <c r="DZ263" i="1"/>
  <c r="DZ288" i="1" s="1"/>
  <c r="DW263" i="1"/>
  <c r="DW288" i="1" s="1"/>
  <c r="DS263" i="1"/>
  <c r="DQ263" i="1"/>
  <c r="DQ288" i="1" s="1"/>
  <c r="DP263" i="1"/>
  <c r="DN263" i="1"/>
  <c r="DN288" i="1" s="1"/>
  <c r="DM263" i="1"/>
  <c r="DJ263" i="1"/>
  <c r="DG263" i="1"/>
  <c r="DB263" i="1"/>
  <c r="DB288" i="1" s="1"/>
  <c r="CY263" i="1"/>
  <c r="CY288" i="1" s="1"/>
  <c r="CX263" i="1"/>
  <c r="CU263" i="1"/>
  <c r="CS263" i="1"/>
  <c r="CS288" i="1" s="1"/>
  <c r="CL263" i="1"/>
  <c r="CC263" i="1"/>
  <c r="BZ263" i="1"/>
  <c r="BW263" i="1"/>
  <c r="BT263" i="1"/>
  <c r="BR263" i="1"/>
  <c r="BR288" i="1" s="1"/>
  <c r="BQ263" i="1"/>
  <c r="BP263" i="1"/>
  <c r="BP288" i="1" s="1"/>
  <c r="BO263" i="1"/>
  <c r="BO288" i="1" s="1"/>
  <c r="BN263" i="1"/>
  <c r="BM263" i="1"/>
  <c r="BM288" i="1" s="1"/>
  <c r="BJ263" i="1"/>
  <c r="BJ288" i="1" s="1"/>
  <c r="BI263" i="1"/>
  <c r="BF263" i="1"/>
  <c r="BD263" i="1"/>
  <c r="BD359" i="1" s="1"/>
  <c r="BD29" i="1" s="1"/>
  <c r="BC263" i="1"/>
  <c r="AZ263" i="1"/>
  <c r="AW263" i="1"/>
  <c r="AE263" i="1"/>
  <c r="AE288" i="1" s="1"/>
  <c r="AD263" i="1"/>
  <c r="AB263" i="1"/>
  <c r="AB288" i="1" s="1"/>
  <c r="AA263" i="1"/>
  <c r="V263" i="1"/>
  <c r="V359" i="1" s="1"/>
  <c r="FO254" i="1"/>
  <c r="FK254" i="1"/>
  <c r="FJ254" i="1"/>
  <c r="FG254" i="1"/>
  <c r="FD254" i="1"/>
  <c r="EZ254" i="1"/>
  <c r="EW254" i="1"/>
  <c r="ES254" i="1"/>
  <c r="EO254" i="1"/>
  <c r="EH254" i="1"/>
  <c r="ED254" i="1"/>
  <c r="DU254" i="1"/>
  <c r="DS254" i="1"/>
  <c r="DO254" i="1"/>
  <c r="DL254" i="1"/>
  <c r="DI254" i="1"/>
  <c r="DF254" i="1"/>
  <c r="CW254" i="1"/>
  <c r="CU254" i="1"/>
  <c r="CQ254" i="1"/>
  <c r="CQ253" i="1" s="1"/>
  <c r="CP254" i="1"/>
  <c r="CP253" i="1" s="1"/>
  <c r="CO254" i="1"/>
  <c r="CO253" i="1" s="1"/>
  <c r="CN254" i="1"/>
  <c r="CN253" i="1" s="1"/>
  <c r="CH254" i="1"/>
  <c r="CH253" i="1" s="1"/>
  <c r="CF254" i="1"/>
  <c r="CF253" i="1" s="1"/>
  <c r="CB254" i="1"/>
  <c r="CB253" i="1" s="1"/>
  <c r="BZ254" i="1"/>
  <c r="BW254" i="1"/>
  <c r="BT254" i="1"/>
  <c r="BP254" i="1"/>
  <c r="BP253" i="1" s="1"/>
  <c r="BH254" i="1"/>
  <c r="BH253" i="1" s="1"/>
  <c r="BG254" i="1"/>
  <c r="BG253" i="1" s="1"/>
  <c r="BC254" i="1"/>
  <c r="AZ254" i="1"/>
  <c r="AV254" i="1"/>
  <c r="AS254" i="1"/>
  <c r="AS253" i="1" s="1"/>
  <c r="AG254" i="1"/>
  <c r="AF254" i="1" s="1"/>
  <c r="AR254" i="1" s="1"/>
  <c r="AR253" i="1" s="1"/>
  <c r="AC254" i="1"/>
  <c r="AC253" i="1" s="1"/>
  <c r="Z254" i="1"/>
  <c r="Z253" i="1" s="1"/>
  <c r="Y254" i="1"/>
  <c r="Y253" i="1" s="1"/>
  <c r="X254" i="1"/>
  <c r="T254" i="1"/>
  <c r="T253" i="1" s="1"/>
  <c r="Q254" i="1"/>
  <c r="Q253" i="1" s="1"/>
  <c r="P254" i="1"/>
  <c r="P253" i="1" s="1"/>
  <c r="O254" i="1"/>
  <c r="K254" i="1"/>
  <c r="K253" i="1" s="1"/>
  <c r="J254" i="1"/>
  <c r="J253" i="1" s="1"/>
  <c r="I254" i="1"/>
  <c r="E254" i="1"/>
  <c r="E253" i="1" s="1"/>
  <c r="FR253" i="1"/>
  <c r="FO253" i="1" s="1"/>
  <c r="FN253" i="1"/>
  <c r="FM253" i="1"/>
  <c r="FL253" i="1"/>
  <c r="FH253" i="1"/>
  <c r="FA253" i="1"/>
  <c r="EZ253" i="1" s="1"/>
  <c r="EY253" i="1"/>
  <c r="FE253" i="1" s="1"/>
  <c r="EX253" i="1"/>
  <c r="EW253" i="1" s="1"/>
  <c r="ET253" i="1"/>
  <c r="ES253" i="1" s="1"/>
  <c r="ER253" i="1"/>
  <c r="EQ253" i="1"/>
  <c r="EP253" i="1"/>
  <c r="EN253" i="1"/>
  <c r="EM253" i="1"/>
  <c r="EL253" i="1"/>
  <c r="EE253" i="1"/>
  <c r="ED253" i="1" s="1"/>
  <c r="DZ253" i="1"/>
  <c r="DY253" i="1"/>
  <c r="DX253" i="1"/>
  <c r="DW253" i="1"/>
  <c r="DV253" i="1"/>
  <c r="DU253" i="1" s="1"/>
  <c r="DT253" i="1"/>
  <c r="DQ253" i="1"/>
  <c r="DP253" i="1"/>
  <c r="DO253" i="1" s="1"/>
  <c r="DN253" i="1"/>
  <c r="DM253" i="1"/>
  <c r="DL253" i="1" s="1"/>
  <c r="DK253" i="1"/>
  <c r="DJ253" i="1"/>
  <c r="DI253" i="1" s="1"/>
  <c r="DH253" i="1"/>
  <c r="DG253" i="1"/>
  <c r="DF253" i="1" s="1"/>
  <c r="DB253" i="1"/>
  <c r="DA253" i="1"/>
  <c r="CZ253" i="1"/>
  <c r="CY253" i="1"/>
  <c r="CX253" i="1"/>
  <c r="CW253" i="1" s="1"/>
  <c r="CV253" i="1"/>
  <c r="CS253" i="1"/>
  <c r="CR253" i="1"/>
  <c r="CM253" i="1"/>
  <c r="CJ253" i="1"/>
  <c r="CI253" i="1"/>
  <c r="CD253" i="1"/>
  <c r="CC253" i="1"/>
  <c r="CA253" i="1"/>
  <c r="BX253" i="1"/>
  <c r="BU253" i="1"/>
  <c r="BR253" i="1"/>
  <c r="BQ253" i="1"/>
  <c r="BO253" i="1"/>
  <c r="BN253" i="1"/>
  <c r="BM253" i="1"/>
  <c r="BJ253" i="1"/>
  <c r="BI253" i="1"/>
  <c r="BD253" i="1"/>
  <c r="BA253" i="1"/>
  <c r="AX253" i="1"/>
  <c r="AW253" i="1"/>
  <c r="AU253" i="1"/>
  <c r="AT253" i="1"/>
  <c r="AQ253" i="1"/>
  <c r="AP253" i="1"/>
  <c r="AJ253" i="1"/>
  <c r="AH253" i="1"/>
  <c r="AE253" i="1"/>
  <c r="AD253" i="1"/>
  <c r="AB253" i="1"/>
  <c r="AA253" i="1"/>
  <c r="V253" i="1"/>
  <c r="U253" i="1"/>
  <c r="S253" i="1"/>
  <c r="R253" i="1"/>
  <c r="M253" i="1"/>
  <c r="L253" i="1"/>
  <c r="G253" i="1"/>
  <c r="F253" i="1"/>
  <c r="IA251" i="1"/>
  <c r="HW251" i="1"/>
  <c r="HS251" i="1"/>
  <c r="HO251" i="1"/>
  <c r="HK251" i="1"/>
  <c r="HG251" i="1"/>
  <c r="GU251" i="1"/>
  <c r="FO251" i="1"/>
  <c r="FH251" i="1"/>
  <c r="FG251" i="1" s="1"/>
  <c r="FC251" i="1"/>
  <c r="FA251" i="1"/>
  <c r="EZ251" i="1" s="1"/>
  <c r="EW251" i="1"/>
  <c r="ES251" i="1"/>
  <c r="EL251" i="1"/>
  <c r="EG251" i="1"/>
  <c r="EE251" i="1"/>
  <c r="ED251" i="1" s="1"/>
  <c r="DU251" i="1"/>
  <c r="DI251" i="1"/>
  <c r="DF251" i="1"/>
  <c r="CW251" i="1"/>
  <c r="IB250" i="1"/>
  <c r="HS250" i="1"/>
  <c r="HO250" i="1"/>
  <c r="HL250" i="1"/>
  <c r="HH250" i="1"/>
  <c r="GU250" i="1"/>
  <c r="FO250" i="1"/>
  <c r="FK250" i="1"/>
  <c r="FH250" i="1"/>
  <c r="FC250" i="1"/>
  <c r="FA250" i="1"/>
  <c r="EZ250" i="1" s="1"/>
  <c r="EW250" i="1"/>
  <c r="ES250" i="1"/>
  <c r="EL250" i="1"/>
  <c r="EP250" i="1" s="1"/>
  <c r="EO250" i="1" s="1"/>
  <c r="EG250" i="1"/>
  <c r="EE250" i="1"/>
  <c r="ED250" i="1" s="1"/>
  <c r="DU250" i="1"/>
  <c r="DI250" i="1"/>
  <c r="DG250" i="1"/>
  <c r="DF250" i="1" s="1"/>
  <c r="CW250" i="1"/>
  <c r="HT249" i="1"/>
  <c r="HS249" i="1" s="1"/>
  <c r="HP249" i="1"/>
  <c r="HO249" i="1" s="1"/>
  <c r="GV249" i="1"/>
  <c r="GU249" i="1" s="1"/>
  <c r="FP249" i="1"/>
  <c r="FP244" i="1" s="1"/>
  <c r="FO244" i="1" s="1"/>
  <c r="FC249" i="1"/>
  <c r="IB248" i="1"/>
  <c r="HX248" i="1"/>
  <c r="HX287" i="1" s="1"/>
  <c r="HW287" i="1" s="1"/>
  <c r="HT248" i="1"/>
  <c r="HP248" i="1"/>
  <c r="HP287" i="1" s="1"/>
  <c r="HL248" i="1"/>
  <c r="HL287" i="1" s="1"/>
  <c r="HH248" i="1"/>
  <c r="HH287" i="1" s="1"/>
  <c r="GV248" i="1"/>
  <c r="FO248" i="1"/>
  <c r="FO246" i="1" s="1"/>
  <c r="GD248" i="1"/>
  <c r="EZ248" i="1"/>
  <c r="EZ12" i="1" s="1"/>
  <c r="EW248" i="1"/>
  <c r="EW12" i="1" s="1"/>
  <c r="ES248" i="1"/>
  <c r="EO248" i="1"/>
  <c r="EO12" i="1" s="1"/>
  <c r="EH248" i="1"/>
  <c r="EH245" i="1" s="1"/>
  <c r="EG245" i="1" s="1"/>
  <c r="ED248" i="1"/>
  <c r="ED12" i="1" s="1"/>
  <c r="DU248" i="1"/>
  <c r="DU12" i="1" s="1"/>
  <c r="DS248" i="1"/>
  <c r="DS12" i="1" s="1"/>
  <c r="DO248" i="1"/>
  <c r="DO12" i="1" s="1"/>
  <c r="DL248" i="1"/>
  <c r="DL12" i="1" s="1"/>
  <c r="DI248" i="1"/>
  <c r="DI12" i="1" s="1"/>
  <c r="DF248" i="1"/>
  <c r="DF12" i="1" s="1"/>
  <c r="CW248" i="1"/>
  <c r="CU248" i="1"/>
  <c r="CU244" i="1" s="1"/>
  <c r="CQ248" i="1"/>
  <c r="CQ244" i="1" s="1"/>
  <c r="CP248" i="1"/>
  <c r="CO248" i="1"/>
  <c r="CN248" i="1"/>
  <c r="CH248" i="1"/>
  <c r="CH244" i="1" s="1"/>
  <c r="CF248" i="1"/>
  <c r="CF244" i="1" s="1"/>
  <c r="CB248" i="1"/>
  <c r="CB244" i="1" s="1"/>
  <c r="BZ248" i="1"/>
  <c r="BW248" i="1"/>
  <c r="BT248" i="1"/>
  <c r="BS248" i="1" s="1"/>
  <c r="BS244" i="1" s="1"/>
  <c r="BP248" i="1"/>
  <c r="BP244" i="1" s="1"/>
  <c r="BH248" i="1"/>
  <c r="BH244" i="1" s="1"/>
  <c r="BG248" i="1"/>
  <c r="BG244" i="1" s="1"/>
  <c r="BC248" i="1"/>
  <c r="AZ248" i="1"/>
  <c r="BF248" i="1" s="1"/>
  <c r="BE248" i="1" s="1"/>
  <c r="BE244" i="1" s="1"/>
  <c r="AV248" i="1"/>
  <c r="AS248" i="1"/>
  <c r="AS244" i="1" s="1"/>
  <c r="AG248" i="1"/>
  <c r="AF248" i="1" s="1"/>
  <c r="AC248" i="1"/>
  <c r="AC244" i="1" s="1"/>
  <c r="Z248" i="1"/>
  <c r="Y248" i="1"/>
  <c r="Y244" i="1" s="1"/>
  <c r="X248" i="1"/>
  <c r="T248" i="1"/>
  <c r="T244" i="1" s="1"/>
  <c r="Q248" i="1"/>
  <c r="Q244" i="1" s="1"/>
  <c r="P248" i="1"/>
  <c r="O248" i="1"/>
  <c r="O244" i="1" s="1"/>
  <c r="K248" i="1"/>
  <c r="K244" i="1" s="1"/>
  <c r="J248" i="1"/>
  <c r="I248" i="1"/>
  <c r="I244" i="1" s="1"/>
  <c r="E248" i="1"/>
  <c r="E244" i="1" s="1"/>
  <c r="FN244" i="1"/>
  <c r="FM244" i="1"/>
  <c r="FL244" i="1"/>
  <c r="FA244" i="1"/>
  <c r="EZ244" i="1" s="1"/>
  <c r="EY244" i="1"/>
  <c r="FE244" i="1" s="1"/>
  <c r="EX244" i="1"/>
  <c r="EW244" i="1" s="1"/>
  <c r="ET244" i="1"/>
  <c r="ES244" i="1" s="1"/>
  <c r="ER244" i="1"/>
  <c r="EQ244" i="1"/>
  <c r="EP244" i="1"/>
  <c r="EN244" i="1"/>
  <c r="EM244" i="1"/>
  <c r="EL244" i="1"/>
  <c r="EE244" i="1"/>
  <c r="ED244" i="1" s="1"/>
  <c r="DZ244" i="1"/>
  <c r="DY244" i="1"/>
  <c r="DX244" i="1"/>
  <c r="DW244" i="1"/>
  <c r="DV244" i="1"/>
  <c r="DU244" i="1" s="1"/>
  <c r="DT244" i="1"/>
  <c r="DQ244" i="1"/>
  <c r="DP244" i="1"/>
  <c r="DO244" i="1" s="1"/>
  <c r="DN244" i="1"/>
  <c r="DM244" i="1"/>
  <c r="DL244" i="1" s="1"/>
  <c r="DK244" i="1"/>
  <c r="DJ244" i="1"/>
  <c r="DI244" i="1" s="1"/>
  <c r="DH244" i="1"/>
  <c r="DG244" i="1"/>
  <c r="DF244" i="1" s="1"/>
  <c r="DB244" i="1"/>
  <c r="DA244" i="1"/>
  <c r="CZ244" i="1"/>
  <c r="CY244" i="1"/>
  <c r="CX244" i="1"/>
  <c r="CW244" i="1" s="1"/>
  <c r="CV244" i="1"/>
  <c r="CS244" i="1"/>
  <c r="CR244" i="1"/>
  <c r="CM244" i="1"/>
  <c r="CJ244" i="1"/>
  <c r="CI244" i="1"/>
  <c r="CD244" i="1"/>
  <c r="CC244" i="1"/>
  <c r="CA244" i="1"/>
  <c r="BX244" i="1"/>
  <c r="BU244" i="1"/>
  <c r="BR244" i="1"/>
  <c r="BQ244" i="1"/>
  <c r="BO244" i="1"/>
  <c r="BN244" i="1"/>
  <c r="BM244" i="1"/>
  <c r="BJ244" i="1"/>
  <c r="BI244" i="1"/>
  <c r="BD244" i="1"/>
  <c r="BA244" i="1"/>
  <c r="AX244" i="1"/>
  <c r="AW244" i="1"/>
  <c r="AU244" i="1"/>
  <c r="AT244" i="1"/>
  <c r="AQ244" i="1"/>
  <c r="AP244" i="1"/>
  <c r="AJ244" i="1"/>
  <c r="AH244" i="1"/>
  <c r="AE244" i="1"/>
  <c r="AD244" i="1"/>
  <c r="AB244" i="1"/>
  <c r="AA244" i="1"/>
  <c r="V244" i="1"/>
  <c r="U244" i="1"/>
  <c r="S244" i="1"/>
  <c r="R244" i="1"/>
  <c r="M244" i="1"/>
  <c r="L244" i="1"/>
  <c r="G244" i="1"/>
  <c r="F244" i="1"/>
  <c r="HP242" i="1"/>
  <c r="HL242" i="1"/>
  <c r="GU242" i="1"/>
  <c r="FK242" i="1"/>
  <c r="GD242" i="1"/>
  <c r="EW242" i="1"/>
  <c r="ES242" i="1"/>
  <c r="EO242" i="1"/>
  <c r="EL242" i="1"/>
  <c r="EK242" i="1" s="1"/>
  <c r="EG242" i="1"/>
  <c r="EE242" i="1"/>
  <c r="ED242" i="1" s="1"/>
  <c r="DX242" i="1"/>
  <c r="DU242" i="1"/>
  <c r="DP242" i="1"/>
  <c r="DM242" i="1"/>
  <c r="DL242" i="1" s="1"/>
  <c r="DJ242" i="1"/>
  <c r="CZ242" i="1"/>
  <c r="CW242" i="1"/>
  <c r="CT242" i="1"/>
  <c r="CQ242" i="1"/>
  <c r="CK242" i="1"/>
  <c r="CH242" i="1"/>
  <c r="CF242" i="1"/>
  <c r="CB242" i="1"/>
  <c r="BV242" i="1"/>
  <c r="BP242" i="1"/>
  <c r="BG242" i="1"/>
  <c r="BF242" i="1"/>
  <c r="BB242" i="1"/>
  <c r="AZ242" i="1"/>
  <c r="BI242" i="1" s="1"/>
  <c r="AV242" i="1"/>
  <c r="AS242" i="1"/>
  <c r="AG242" i="1"/>
  <c r="AL242" i="1" s="1"/>
  <c r="AC242" i="1"/>
  <c r="Z242" i="1"/>
  <c r="AK242" i="1" s="1"/>
  <c r="Y242" i="1"/>
  <c r="X242" i="1"/>
  <c r="T242" i="1"/>
  <c r="Q242" i="1"/>
  <c r="P242" i="1"/>
  <c r="O242" i="1"/>
  <c r="K242" i="1"/>
  <c r="J242" i="1"/>
  <c r="I242" i="1"/>
  <c r="E242" i="1"/>
  <c r="HP239" i="1"/>
  <c r="HO239" i="1" s="1"/>
  <c r="HL239" i="1"/>
  <c r="GU239" i="1"/>
  <c r="FP239" i="1"/>
  <c r="FO239" i="1" s="1"/>
  <c r="FK239" i="1"/>
  <c r="FC239" i="1"/>
  <c r="FA239" i="1"/>
  <c r="EZ239" i="1" s="1"/>
  <c r="EW239" i="1"/>
  <c r="ES239" i="1"/>
  <c r="EO239" i="1"/>
  <c r="EK239" i="1"/>
  <c r="EG239" i="1"/>
  <c r="DX239" i="1"/>
  <c r="DV239" i="1"/>
  <c r="EE239" i="1" s="1"/>
  <c r="ED239" i="1" s="1"/>
  <c r="DS239" i="1"/>
  <c r="DR239" i="1" s="1"/>
  <c r="DO239" i="1"/>
  <c r="DL239" i="1"/>
  <c r="DI239" i="1"/>
  <c r="DG239" i="1"/>
  <c r="DF239" i="1" s="1"/>
  <c r="CZ239" i="1"/>
  <c r="CW239" i="1"/>
  <c r="CT239" i="1"/>
  <c r="CQ239" i="1"/>
  <c r="CK239" i="1"/>
  <c r="CF239" i="1"/>
  <c r="CB239" i="1"/>
  <c r="BV239" i="1"/>
  <c r="BG239" i="1"/>
  <c r="BF239" i="1"/>
  <c r="BB239" i="1"/>
  <c r="AV239" i="1"/>
  <c r="AT239" i="1"/>
  <c r="AF239" i="1"/>
  <c r="AR239" i="1" s="1"/>
  <c r="AC239" i="1"/>
  <c r="Z239" i="1"/>
  <c r="AK239" i="1" s="1"/>
  <c r="AL239" i="1" s="1"/>
  <c r="Y239" i="1"/>
  <c r="X239" i="1"/>
  <c r="T239" i="1"/>
  <c r="Q239" i="1"/>
  <c r="P239" i="1"/>
  <c r="O239" i="1"/>
  <c r="K239" i="1"/>
  <c r="J239" i="1"/>
  <c r="I239" i="1"/>
  <c r="E239" i="1"/>
  <c r="HT238" i="1"/>
  <c r="HL238" i="1"/>
  <c r="GV238" i="1"/>
  <c r="FP238" i="1"/>
  <c r="FK238" i="1"/>
  <c r="FC238" i="1"/>
  <c r="EX238" i="1"/>
  <c r="ES238" i="1"/>
  <c r="EO238" i="1"/>
  <c r="EH238" i="1"/>
  <c r="EH237" i="1" s="1"/>
  <c r="EG237" i="1" s="1"/>
  <c r="DX238" i="1"/>
  <c r="DU238" i="1"/>
  <c r="DO238" i="1"/>
  <c r="DM238" i="1"/>
  <c r="DL238" i="1" s="1"/>
  <c r="DJ238" i="1"/>
  <c r="DG238" i="1" s="1"/>
  <c r="DF238" i="1" s="1"/>
  <c r="CZ238" i="1"/>
  <c r="CW238" i="1"/>
  <c r="CU238" i="1"/>
  <c r="CT238" i="1" s="1"/>
  <c r="CQ238" i="1"/>
  <c r="CH238" i="1"/>
  <c r="CL238" i="1" s="1"/>
  <c r="CL236" i="1" s="1"/>
  <c r="CF238" i="1"/>
  <c r="CB238" i="1"/>
  <c r="BZ238" i="1"/>
  <c r="BW238" i="1"/>
  <c r="BV238" i="1" s="1"/>
  <c r="BT238" i="1"/>
  <c r="BP238" i="1"/>
  <c r="BH238" i="1"/>
  <c r="BG238" i="1"/>
  <c r="BC238" i="1"/>
  <c r="BB238" i="1" s="1"/>
  <c r="AZ238" i="1"/>
  <c r="AV238" i="1"/>
  <c r="AS238" i="1"/>
  <c r="AG238" i="1"/>
  <c r="AF238" i="1" s="1"/>
  <c r="AR238" i="1" s="1"/>
  <c r="AC238" i="1"/>
  <c r="Z238" i="1"/>
  <c r="Y238" i="1"/>
  <c r="X238" i="1"/>
  <c r="T238" i="1"/>
  <c r="Q238" i="1"/>
  <c r="P238" i="1"/>
  <c r="O238" i="1"/>
  <c r="K238" i="1"/>
  <c r="J238" i="1"/>
  <c r="I238" i="1"/>
  <c r="E238" i="1"/>
  <c r="FN236" i="1"/>
  <c r="FL236" i="1"/>
  <c r="FJ236" i="1"/>
  <c r="EY236" i="1"/>
  <c r="ET236" i="1"/>
  <c r="ES236" i="1" s="1"/>
  <c r="ER236" i="1"/>
  <c r="EP236" i="1"/>
  <c r="EN236" i="1"/>
  <c r="DZ236" i="1"/>
  <c r="DY236" i="1"/>
  <c r="DW236" i="1"/>
  <c r="DT236" i="1"/>
  <c r="DQ236" i="1"/>
  <c r="DN236" i="1"/>
  <c r="DK236" i="1"/>
  <c r="DH236" i="1"/>
  <c r="DB236" i="1"/>
  <c r="DA236" i="1"/>
  <c r="CY236" i="1"/>
  <c r="CX236" i="1"/>
  <c r="CW236" i="1" s="1"/>
  <c r="CV236" i="1"/>
  <c r="CS236" i="1"/>
  <c r="CR236" i="1"/>
  <c r="CM236" i="1"/>
  <c r="CJ236" i="1"/>
  <c r="CD236" i="1"/>
  <c r="CC236" i="1"/>
  <c r="CA236" i="1"/>
  <c r="BX236" i="1"/>
  <c r="BU236" i="1"/>
  <c r="BR236" i="1"/>
  <c r="BQ236" i="1"/>
  <c r="BO236" i="1"/>
  <c r="BN236" i="1"/>
  <c r="BM236" i="1"/>
  <c r="BJ236" i="1"/>
  <c r="BD236" i="1"/>
  <c r="BA236" i="1"/>
  <c r="AX236" i="1"/>
  <c r="AW236" i="1"/>
  <c r="AU236" i="1"/>
  <c r="AQ236" i="1"/>
  <c r="AP236" i="1"/>
  <c r="AJ236" i="1"/>
  <c r="AH236" i="1"/>
  <c r="AE236" i="1"/>
  <c r="AD236" i="1"/>
  <c r="AB236" i="1"/>
  <c r="AA236" i="1"/>
  <c r="V236" i="1"/>
  <c r="U236" i="1"/>
  <c r="S236" i="1"/>
  <c r="R236" i="1"/>
  <c r="M236" i="1"/>
  <c r="L236" i="1"/>
  <c r="G236" i="1"/>
  <c r="F236" i="1"/>
  <c r="IA234" i="1"/>
  <c r="HX234" i="1"/>
  <c r="HS234" i="1"/>
  <c r="HO234" i="1"/>
  <c r="HH234" i="1"/>
  <c r="GU234" i="1"/>
  <c r="IB233" i="1"/>
  <c r="HX233" i="1" s="1"/>
  <c r="HS233" i="1"/>
  <c r="HO233" i="1"/>
  <c r="HH233" i="1"/>
  <c r="HG233" i="1" s="1"/>
  <c r="GU233" i="1"/>
  <c r="HT232" i="1"/>
  <c r="HS232" i="1" s="1"/>
  <c r="HP232" i="1"/>
  <c r="GV232" i="1"/>
  <c r="HX230" i="1"/>
  <c r="FK230" i="1"/>
  <c r="FG230" i="1"/>
  <c r="EW230" i="1"/>
  <c r="EO230" i="1"/>
  <c r="EK230" i="1"/>
  <c r="DX230" i="1"/>
  <c r="DU230" i="1"/>
  <c r="DR230" i="1"/>
  <c r="DO230" i="1"/>
  <c r="DL230" i="1"/>
  <c r="DI230" i="1"/>
  <c r="DF230" i="1"/>
  <c r="CZ230" i="1"/>
  <c r="CW230" i="1"/>
  <c r="CT230" i="1"/>
  <c r="CQ230" i="1"/>
  <c r="CM230" i="1"/>
  <c r="CL230" i="1"/>
  <c r="CH230" i="1"/>
  <c r="CB230" i="1"/>
  <c r="CA230" i="1"/>
  <c r="BZ230" i="1"/>
  <c r="BV230" i="1"/>
  <c r="CF230" i="1" s="1"/>
  <c r="BH230" i="1"/>
  <c r="BG230" i="1"/>
  <c r="BF230" i="1"/>
  <c r="BB230" i="1"/>
  <c r="AY230" i="1"/>
  <c r="BL230" i="1" s="1"/>
  <c r="AX230" i="1"/>
  <c r="AW230" i="1"/>
  <c r="AS230" i="1"/>
  <c r="AF230" i="1"/>
  <c r="AC230" i="1"/>
  <c r="Z230" i="1"/>
  <c r="AK230" i="1" s="1"/>
  <c r="AL230" i="1" s="1"/>
  <c r="Y230" i="1"/>
  <c r="X230" i="1"/>
  <c r="T230" i="1"/>
  <c r="Q230" i="1"/>
  <c r="P230" i="1"/>
  <c r="O230" i="1"/>
  <c r="K230" i="1"/>
  <c r="J230" i="1"/>
  <c r="I230" i="1"/>
  <c r="E230" i="1"/>
  <c r="IA229" i="1"/>
  <c r="HX229" i="1"/>
  <c r="HW229" i="1" s="1"/>
  <c r="HS229" i="1"/>
  <c r="HO229" i="1"/>
  <c r="HK229" i="1"/>
  <c r="HG229" i="1"/>
  <c r="GU229" i="1"/>
  <c r="FO229" i="1"/>
  <c r="FK229" i="1"/>
  <c r="FG229" i="1"/>
  <c r="FG228" i="1" s="1"/>
  <c r="FC229" i="1"/>
  <c r="FA229" i="1"/>
  <c r="EZ229" i="1" s="1"/>
  <c r="EW229" i="1"/>
  <c r="EO229" i="1"/>
  <c r="EO228" i="1" s="1"/>
  <c r="EK229" i="1"/>
  <c r="EK228" i="1" s="1"/>
  <c r="EG229" i="1"/>
  <c r="EE229" i="1"/>
  <c r="DX229" i="1"/>
  <c r="DU229" i="1"/>
  <c r="DR229" i="1"/>
  <c r="DR228" i="1" s="1"/>
  <c r="DO229" i="1"/>
  <c r="DO228" i="1" s="1"/>
  <c r="DL229" i="1"/>
  <c r="DL228" i="1" s="1"/>
  <c r="DI229" i="1"/>
  <c r="DI228" i="1" s="1"/>
  <c r="DG229" i="1"/>
  <c r="DF229" i="1" s="1"/>
  <c r="DF228" i="1" s="1"/>
  <c r="CZ229" i="1"/>
  <c r="CW229" i="1"/>
  <c r="CW228" i="1" s="1"/>
  <c r="CT229" i="1"/>
  <c r="CT228" i="1" s="1"/>
  <c r="CQ229" i="1"/>
  <c r="CL229" i="1"/>
  <c r="CH229" i="1"/>
  <c r="CF229" i="1"/>
  <c r="CB229" i="1"/>
  <c r="CB228" i="1" s="1"/>
  <c r="BG229" i="1"/>
  <c r="BG228" i="1" s="1"/>
  <c r="BB229" i="1"/>
  <c r="AV229" i="1"/>
  <c r="AT229" i="1"/>
  <c r="AS229" i="1" s="1"/>
  <c r="AG229" i="1"/>
  <c r="AC229" i="1"/>
  <c r="AA229" i="1"/>
  <c r="X229" i="1" s="1"/>
  <c r="Y229" i="1"/>
  <c r="Y228" i="1" s="1"/>
  <c r="T229" i="1"/>
  <c r="Q229" i="1"/>
  <c r="P229" i="1"/>
  <c r="P228" i="1" s="1"/>
  <c r="O229" i="1"/>
  <c r="O228" i="1" s="1"/>
  <c r="K229" i="1"/>
  <c r="J229" i="1"/>
  <c r="J228" i="1" s="1"/>
  <c r="I229" i="1"/>
  <c r="I228" i="1" s="1"/>
  <c r="E229" i="1"/>
  <c r="IB228" i="1"/>
  <c r="IA228" i="1" s="1"/>
  <c r="HT228" i="1"/>
  <c r="HP228" i="1"/>
  <c r="HO228" i="1" s="1"/>
  <c r="HL228" i="1"/>
  <c r="HK228" i="1" s="1"/>
  <c r="HH228" i="1"/>
  <c r="HG228" i="1" s="1"/>
  <c r="FP228" i="1"/>
  <c r="FO228" i="1" s="1"/>
  <c r="FN228" i="1"/>
  <c r="FL228" i="1"/>
  <c r="FK228" i="1"/>
  <c r="FJ228" i="1"/>
  <c r="GV228" i="1" s="1"/>
  <c r="GU228" i="1" s="1"/>
  <c r="FH228" i="1"/>
  <c r="EY228" i="1"/>
  <c r="EX228" i="1"/>
  <c r="ER228" i="1"/>
  <c r="EP228" i="1"/>
  <c r="EN228" i="1"/>
  <c r="EL228" i="1"/>
  <c r="EG228" i="1"/>
  <c r="DZ228" i="1"/>
  <c r="DY228" i="1"/>
  <c r="DW228" i="1"/>
  <c r="DV228" i="1"/>
  <c r="DT228" i="1"/>
  <c r="DS228" i="1"/>
  <c r="DQ228" i="1"/>
  <c r="DP228" i="1"/>
  <c r="DN228" i="1"/>
  <c r="DM228" i="1"/>
  <c r="DK228" i="1"/>
  <c r="DJ228" i="1"/>
  <c r="DH228" i="1"/>
  <c r="DB228" i="1"/>
  <c r="DA228" i="1"/>
  <c r="CY228" i="1"/>
  <c r="CX228" i="1"/>
  <c r="CV228" i="1"/>
  <c r="CU228" i="1"/>
  <c r="CS228" i="1"/>
  <c r="CR228" i="1"/>
  <c r="CM228" i="1"/>
  <c r="CJ228" i="1"/>
  <c r="CI228" i="1"/>
  <c r="CD228" i="1"/>
  <c r="CC228" i="1"/>
  <c r="CA228" i="1"/>
  <c r="BX228" i="1"/>
  <c r="BW228" i="1"/>
  <c r="BJ228" i="1"/>
  <c r="BD228" i="1"/>
  <c r="BC228" i="1"/>
  <c r="BA228" i="1"/>
  <c r="AX228" i="1"/>
  <c r="AW228" i="1"/>
  <c r="AU228" i="1"/>
  <c r="AQ228" i="1"/>
  <c r="AP228" i="1"/>
  <c r="AH228" i="1"/>
  <c r="AE228" i="1"/>
  <c r="AD228" i="1"/>
  <c r="AB228" i="1"/>
  <c r="V228" i="1"/>
  <c r="U228" i="1"/>
  <c r="S228" i="1"/>
  <c r="R228" i="1"/>
  <c r="M228" i="1"/>
  <c r="L228" i="1"/>
  <c r="G228" i="1"/>
  <c r="F228" i="1"/>
  <c r="HS227" i="1"/>
  <c r="HL227" i="1"/>
  <c r="HK227" i="1" s="1"/>
  <c r="GU227" i="1"/>
  <c r="FP227" i="1"/>
  <c r="FK227" i="1"/>
  <c r="FC227" i="1"/>
  <c r="EX227" i="1"/>
  <c r="ES227" i="1"/>
  <c r="EO227" i="1"/>
  <c r="EL227" i="1"/>
  <c r="EK227" i="1" s="1"/>
  <c r="EG227" i="1"/>
  <c r="DX227" i="1"/>
  <c r="DV227" i="1"/>
  <c r="DO227" i="1"/>
  <c r="DL227" i="1"/>
  <c r="DJ227" i="1"/>
  <c r="CZ227" i="1"/>
  <c r="CW227" i="1"/>
  <c r="CU227" i="1"/>
  <c r="CT227" i="1" s="1"/>
  <c r="CQ227" i="1"/>
  <c r="CL227" i="1"/>
  <c r="CH227" i="1"/>
  <c r="CB227" i="1"/>
  <c r="BZ227" i="1"/>
  <c r="BY227" i="1" s="1"/>
  <c r="BV227" i="1"/>
  <c r="CF227" i="1" s="1"/>
  <c r="BP227" i="1"/>
  <c r="BM227" i="1"/>
  <c r="BH227" i="1"/>
  <c r="BG227" i="1"/>
  <c r="BF227" i="1"/>
  <c r="BB227" i="1"/>
  <c r="AZ227" i="1"/>
  <c r="AY227" i="1" s="1"/>
  <c r="BL227" i="1" s="1"/>
  <c r="AS227" i="1"/>
  <c r="AC227" i="1"/>
  <c r="AA227" i="1"/>
  <c r="AG227" i="1" s="1"/>
  <c r="Y227" i="1"/>
  <c r="T227" i="1"/>
  <c r="Q227" i="1"/>
  <c r="P227" i="1"/>
  <c r="O227" i="1"/>
  <c r="K227" i="1"/>
  <c r="J227" i="1"/>
  <c r="I227" i="1"/>
  <c r="E227" i="1"/>
  <c r="IA226" i="1"/>
  <c r="HX226" i="1"/>
  <c r="HW226" i="1" s="1"/>
  <c r="HS226" i="1"/>
  <c r="HP226" i="1"/>
  <c r="HO226" i="1" s="1"/>
  <c r="HL226" i="1"/>
  <c r="HK226" i="1" s="1"/>
  <c r="GU226" i="1"/>
  <c r="FP226" i="1"/>
  <c r="FO226" i="1" s="1"/>
  <c r="FK226" i="1"/>
  <c r="EW226" i="1"/>
  <c r="ES226" i="1"/>
  <c r="EO226" i="1"/>
  <c r="EL226" i="1"/>
  <c r="EK226" i="1" s="1"/>
  <c r="EG226" i="1"/>
  <c r="ED226" i="1"/>
  <c r="DX226" i="1"/>
  <c r="DU226" i="1"/>
  <c r="DP226" i="1"/>
  <c r="DO226" i="1" s="1"/>
  <c r="DM226" i="1"/>
  <c r="DL226" i="1" s="1"/>
  <c r="DI226" i="1"/>
  <c r="DG226" i="1"/>
  <c r="DF226" i="1" s="1"/>
  <c r="CZ226" i="1"/>
  <c r="CW226" i="1"/>
  <c r="CQ226" i="1"/>
  <c r="CM226" i="1"/>
  <c r="CA226" i="1"/>
  <c r="CU226" i="1" s="1"/>
  <c r="CT226" i="1" s="1"/>
  <c r="BV226" i="1"/>
  <c r="CF226" i="1" s="1"/>
  <c r="BS226" i="1"/>
  <c r="BI226" i="1"/>
  <c r="CC226" i="1" s="1"/>
  <c r="BG226" i="1"/>
  <c r="BF226" i="1"/>
  <c r="BB226" i="1"/>
  <c r="AX226" i="1"/>
  <c r="AT226" i="1"/>
  <c r="AG226" i="1"/>
  <c r="AF226" i="1" s="1"/>
  <c r="AC226" i="1"/>
  <c r="Z226" i="1"/>
  <c r="AK226" i="1" s="1"/>
  <c r="AL226" i="1" s="1"/>
  <c r="Y226" i="1"/>
  <c r="X226" i="1"/>
  <c r="T226" i="1"/>
  <c r="Q226" i="1"/>
  <c r="P226" i="1"/>
  <c r="O226" i="1"/>
  <c r="K226" i="1"/>
  <c r="J226" i="1"/>
  <c r="I226" i="1"/>
  <c r="E226" i="1"/>
  <c r="HS225" i="1"/>
  <c r="HL225" i="1"/>
  <c r="GU225" i="1"/>
  <c r="FP225" i="1"/>
  <c r="FH225" i="1" s="1"/>
  <c r="FG225" i="1" s="1"/>
  <c r="FK225" i="1"/>
  <c r="FC225" i="1"/>
  <c r="EX225" i="1"/>
  <c r="ES225" i="1"/>
  <c r="EO225" i="1"/>
  <c r="EL225" i="1"/>
  <c r="EG225" i="1"/>
  <c r="DX225" i="1"/>
  <c r="DV225" i="1"/>
  <c r="EE225" i="1" s="1"/>
  <c r="ED225" i="1" s="1"/>
  <c r="DO225" i="1"/>
  <c r="DL225" i="1"/>
  <c r="DJ225" i="1"/>
  <c r="DS225" i="1" s="1"/>
  <c r="CZ225" i="1"/>
  <c r="CW225" i="1"/>
  <c r="CQ225" i="1"/>
  <c r="CM225" i="1"/>
  <c r="CK225" i="1" s="1"/>
  <c r="CH225" i="1"/>
  <c r="CB225" i="1"/>
  <c r="CA225" i="1"/>
  <c r="BZ225" i="1"/>
  <c r="BV225" i="1"/>
  <c r="CF225" i="1" s="1"/>
  <c r="BM225" i="1"/>
  <c r="BH225" i="1"/>
  <c r="BG225" i="1"/>
  <c r="BF225" i="1"/>
  <c r="BB225" i="1"/>
  <c r="AZ225" i="1"/>
  <c r="AX225" i="1"/>
  <c r="AS225" i="1"/>
  <c r="AJ225" i="1"/>
  <c r="AJ224" i="1" s="1"/>
  <c r="AG225" i="1"/>
  <c r="AF225" i="1" s="1"/>
  <c r="AR225" i="1" s="1"/>
  <c r="AC225" i="1"/>
  <c r="Z225" i="1"/>
  <c r="Y225" i="1"/>
  <c r="X225" i="1"/>
  <c r="T225" i="1"/>
  <c r="Q225" i="1"/>
  <c r="P225" i="1"/>
  <c r="O225" i="1"/>
  <c r="K225" i="1"/>
  <c r="J225" i="1"/>
  <c r="I225" i="1"/>
  <c r="E225" i="1"/>
  <c r="HT224" i="1"/>
  <c r="HS224" i="1" s="1"/>
  <c r="GV224" i="1"/>
  <c r="GU224" i="1" s="1"/>
  <c r="FN224" i="1"/>
  <c r="FL224" i="1"/>
  <c r="FJ224" i="1"/>
  <c r="EY224" i="1"/>
  <c r="ET224" i="1"/>
  <c r="ER224" i="1"/>
  <c r="EP224" i="1"/>
  <c r="EN224" i="1"/>
  <c r="EH224" i="1"/>
  <c r="EG224" i="1" s="1"/>
  <c r="DZ224" i="1"/>
  <c r="DY224" i="1"/>
  <c r="DW224" i="1"/>
  <c r="DT224" i="1"/>
  <c r="DQ224" i="1"/>
  <c r="DN224" i="1"/>
  <c r="DK224" i="1"/>
  <c r="DH224" i="1"/>
  <c r="DB224" i="1"/>
  <c r="DA224" i="1"/>
  <c r="CY224" i="1"/>
  <c r="CX224" i="1"/>
  <c r="CV224" i="1"/>
  <c r="CS224" i="1"/>
  <c r="CR224" i="1"/>
  <c r="CJ224" i="1"/>
  <c r="CD224" i="1"/>
  <c r="BX224" i="1"/>
  <c r="BW224" i="1"/>
  <c r="BU224" i="1"/>
  <c r="BR224" i="1"/>
  <c r="BQ224" i="1"/>
  <c r="BO224" i="1"/>
  <c r="BN224" i="1"/>
  <c r="BJ224" i="1"/>
  <c r="BD224" i="1"/>
  <c r="BC224" i="1"/>
  <c r="BA224" i="1"/>
  <c r="AU224" i="1"/>
  <c r="AQ224" i="1"/>
  <c r="AP224" i="1"/>
  <c r="AH224" i="1"/>
  <c r="AE224" i="1"/>
  <c r="AD224" i="1"/>
  <c r="AB224" i="1"/>
  <c r="V224" i="1"/>
  <c r="U224" i="1"/>
  <c r="S224" i="1"/>
  <c r="R224" i="1"/>
  <c r="M224" i="1"/>
  <c r="L224" i="1"/>
  <c r="G224" i="1"/>
  <c r="F224" i="1"/>
  <c r="IA223" i="1"/>
  <c r="HS223" i="1"/>
  <c r="HO223" i="1"/>
  <c r="HL223" i="1"/>
  <c r="HH223" i="1"/>
  <c r="GU223" i="1"/>
  <c r="FP223" i="1"/>
  <c r="FC223" i="1"/>
  <c r="ES223" i="1"/>
  <c r="EL223" i="1"/>
  <c r="EK223" i="1" s="1"/>
  <c r="EG223" i="1"/>
  <c r="DL223" i="1"/>
  <c r="DJ223" i="1"/>
  <c r="IA221" i="1"/>
  <c r="HS221" i="1"/>
  <c r="HO221" i="1"/>
  <c r="HL221" i="1"/>
  <c r="HH221" i="1"/>
  <c r="HG221" i="1" s="1"/>
  <c r="GU221" i="1"/>
  <c r="FK221" i="1"/>
  <c r="FJ221" i="1"/>
  <c r="EX221" i="1"/>
  <c r="EW221" i="1" s="1"/>
  <c r="ES221" i="1"/>
  <c r="EO221" i="1"/>
  <c r="EN221" i="1"/>
  <c r="EH221" i="1"/>
  <c r="EG221" i="1" s="1"/>
  <c r="DX221" i="1"/>
  <c r="DU221" i="1"/>
  <c r="DM221" i="1"/>
  <c r="DJ221" i="1"/>
  <c r="DG221" i="1" s="1"/>
  <c r="DH221" i="1"/>
  <c r="CZ221" i="1"/>
  <c r="CV221" i="1"/>
  <c r="CQ221" i="1"/>
  <c r="CK221" i="1"/>
  <c r="CH221" i="1"/>
  <c r="CD221" i="1"/>
  <c r="CB221" i="1" s="1"/>
  <c r="BV221" i="1"/>
  <c r="CF221" i="1" s="1"/>
  <c r="BP221" i="1"/>
  <c r="BG221" i="1"/>
  <c r="BC221" i="1"/>
  <c r="BI221" i="1" s="1"/>
  <c r="AV221" i="1"/>
  <c r="AT221" i="1"/>
  <c r="AZ221" i="1" s="1"/>
  <c r="AY221" i="1" s="1"/>
  <c r="BL221" i="1" s="1"/>
  <c r="AG221" i="1"/>
  <c r="AF221" i="1" s="1"/>
  <c r="AC221" i="1"/>
  <c r="Z221" i="1"/>
  <c r="AK221" i="1" s="1"/>
  <c r="Y221" i="1"/>
  <c r="X221" i="1"/>
  <c r="T221" i="1"/>
  <c r="Q221" i="1"/>
  <c r="P221" i="1"/>
  <c r="O221" i="1"/>
  <c r="K221" i="1"/>
  <c r="J221" i="1"/>
  <c r="I221" i="1"/>
  <c r="E221" i="1"/>
  <c r="IA220" i="1"/>
  <c r="HS220" i="1"/>
  <c r="HP220" i="1"/>
  <c r="HL220" i="1"/>
  <c r="GU220" i="1"/>
  <c r="FP220" i="1"/>
  <c r="FO220" i="1" s="1"/>
  <c r="FK220" i="1"/>
  <c r="FC220" i="1"/>
  <c r="FA220" i="1"/>
  <c r="EZ220" i="1" s="1"/>
  <c r="EW220" i="1"/>
  <c r="ES220" i="1"/>
  <c r="EO220" i="1"/>
  <c r="EL220" i="1"/>
  <c r="EK220" i="1" s="1"/>
  <c r="EG220" i="1"/>
  <c r="EE220" i="1"/>
  <c r="ED220" i="1" s="1"/>
  <c r="DX220" i="1"/>
  <c r="DU220" i="1"/>
  <c r="DO220" i="1"/>
  <c r="DL220" i="1"/>
  <c r="DJ220" i="1"/>
  <c r="DS220" i="1" s="1"/>
  <c r="DR220" i="1" s="1"/>
  <c r="CZ220" i="1"/>
  <c r="CW220" i="1"/>
  <c r="CB220" i="1"/>
  <c r="IA219" i="1"/>
  <c r="HS219" i="1"/>
  <c r="HL219" i="1"/>
  <c r="GV219" i="1"/>
  <c r="FK219" i="1"/>
  <c r="FJ219" i="1"/>
  <c r="EX219" i="1"/>
  <c r="ES219" i="1"/>
  <c r="EO219" i="1"/>
  <c r="EN219" i="1"/>
  <c r="EH219" i="1"/>
  <c r="EH217" i="1" s="1"/>
  <c r="EG217" i="1" s="1"/>
  <c r="DX219" i="1"/>
  <c r="DV219" i="1"/>
  <c r="DP219" i="1"/>
  <c r="DP217" i="1" s="1"/>
  <c r="DP216" i="1" s="1"/>
  <c r="DM219" i="1"/>
  <c r="DH219" i="1"/>
  <c r="CZ219" i="1"/>
  <c r="CX219" i="1"/>
  <c r="CV219" i="1"/>
  <c r="CU219" i="1"/>
  <c r="CQ219" i="1"/>
  <c r="CM219" i="1"/>
  <c r="CL219" i="1"/>
  <c r="CL217" i="1" s="1"/>
  <c r="CL216" i="1" s="1"/>
  <c r="CH219" i="1"/>
  <c r="CD219" i="1"/>
  <c r="CB219" i="1" s="1"/>
  <c r="BV219" i="1"/>
  <c r="CF219" i="1" s="1"/>
  <c r="BP219" i="1"/>
  <c r="BM219" i="1"/>
  <c r="BG219" i="1"/>
  <c r="BF219" i="1"/>
  <c r="BB219" i="1"/>
  <c r="AZ219" i="1"/>
  <c r="AX219" i="1"/>
  <c r="AX217" i="1" s="1"/>
  <c r="AX216" i="1" s="1"/>
  <c r="AS219" i="1"/>
  <c r="AP219" i="1"/>
  <c r="AP217" i="1" s="1"/>
  <c r="AP216" i="1" s="1"/>
  <c r="AC219" i="1"/>
  <c r="AA219" i="1"/>
  <c r="Y219" i="1"/>
  <c r="T219" i="1"/>
  <c r="R219" i="1"/>
  <c r="P219" i="1"/>
  <c r="L219" i="1"/>
  <c r="L217" i="1" s="1"/>
  <c r="L216" i="1" s="1"/>
  <c r="J219" i="1"/>
  <c r="F219" i="1"/>
  <c r="IB218" i="1"/>
  <c r="HT218" i="1"/>
  <c r="HP218" i="1"/>
  <c r="HL218" i="1"/>
  <c r="GU218" i="1"/>
  <c r="FP218" i="1"/>
  <c r="FO218" i="1" s="1"/>
  <c r="FK218" i="1"/>
  <c r="FJ218" i="1"/>
  <c r="FC218" i="1"/>
  <c r="EX218" i="1"/>
  <c r="EW218" i="1" s="1"/>
  <c r="ES218" i="1"/>
  <c r="EO218" i="1"/>
  <c r="EN218" i="1"/>
  <c r="EL218" i="1"/>
  <c r="EG218" i="1"/>
  <c r="EE218" i="1"/>
  <c r="ED218" i="1" s="1"/>
  <c r="DX218" i="1"/>
  <c r="DU218" i="1"/>
  <c r="DJ218" i="1"/>
  <c r="DH218" i="1"/>
  <c r="CZ218" i="1"/>
  <c r="CV218" i="1"/>
  <c r="CY218" i="1" s="1"/>
  <c r="CW218" i="1" s="1"/>
  <c r="CU218" i="1"/>
  <c r="CO218" i="1"/>
  <c r="CN218" i="1" s="1"/>
  <c r="CK218" i="1"/>
  <c r="CH218" i="1"/>
  <c r="CD218" i="1"/>
  <c r="BW218" i="1"/>
  <c r="BP218" i="1"/>
  <c r="BM218" i="1"/>
  <c r="BI218" i="1"/>
  <c r="BH218" i="1" s="1"/>
  <c r="BG218" i="1"/>
  <c r="BB218" i="1"/>
  <c r="AT218" i="1"/>
  <c r="AS218" i="1" s="1"/>
  <c r="AG218" i="1"/>
  <c r="AF218" i="1" s="1"/>
  <c r="AC218" i="1"/>
  <c r="AC217" i="1" s="1"/>
  <c r="Z218" i="1"/>
  <c r="AK218" i="1" s="1"/>
  <c r="Y218" i="1"/>
  <c r="X218" i="1"/>
  <c r="T218" i="1"/>
  <c r="Q218" i="1"/>
  <c r="P218" i="1"/>
  <c r="O218" i="1"/>
  <c r="K218" i="1"/>
  <c r="J218" i="1"/>
  <c r="I218" i="1"/>
  <c r="E218" i="1"/>
  <c r="EY217" i="1"/>
  <c r="EY216" i="1" s="1"/>
  <c r="ET217" i="1"/>
  <c r="DZ217" i="1"/>
  <c r="DZ216" i="1" s="1"/>
  <c r="DY217" i="1"/>
  <c r="DY216" i="1" s="1"/>
  <c r="DW217" i="1"/>
  <c r="DW216" i="1" s="1"/>
  <c r="DB217" i="1"/>
  <c r="DB216" i="1" s="1"/>
  <c r="DA217" i="1"/>
  <c r="DA216" i="1" s="1"/>
  <c r="CS217" i="1"/>
  <c r="CS216" i="1" s="1"/>
  <c r="CO217" i="1"/>
  <c r="CN217" i="1" s="1"/>
  <c r="CJ217" i="1"/>
  <c r="CJ216" i="1" s="1"/>
  <c r="CI217" i="1"/>
  <c r="CI216" i="1" s="1"/>
  <c r="CC217" i="1"/>
  <c r="CA217" i="1"/>
  <c r="CA216" i="1" s="1"/>
  <c r="BX217" i="1"/>
  <c r="BX216" i="1" s="1"/>
  <c r="BU217" i="1"/>
  <c r="BU216" i="1" s="1"/>
  <c r="BR217" i="1"/>
  <c r="BR216" i="1" s="1"/>
  <c r="BQ217" i="1"/>
  <c r="BQ216" i="1" s="1"/>
  <c r="BO217" i="1"/>
  <c r="BO216" i="1" s="1"/>
  <c r="BN217" i="1"/>
  <c r="BN216" i="1" s="1"/>
  <c r="BJ217" i="1"/>
  <c r="BJ216" i="1" s="1"/>
  <c r="BD217" i="1"/>
  <c r="BD216" i="1" s="1"/>
  <c r="BC217" i="1"/>
  <c r="BA217" i="1"/>
  <c r="BA216" i="1" s="1"/>
  <c r="AU217" i="1"/>
  <c r="AU216" i="1" s="1"/>
  <c r="AQ217" i="1"/>
  <c r="AQ216" i="1" s="1"/>
  <c r="AN217" i="1"/>
  <c r="AN216" i="1" s="1"/>
  <c r="AN213" i="1" s="1"/>
  <c r="AM217" i="1"/>
  <c r="AM216" i="1" s="1"/>
  <c r="AM213" i="1" s="1"/>
  <c r="AJ217" i="1"/>
  <c r="AJ216" i="1" s="1"/>
  <c r="AI217" i="1"/>
  <c r="AI216" i="1" s="1"/>
  <c r="AI213" i="1" s="1"/>
  <c r="AH217" i="1"/>
  <c r="AH216" i="1" s="1"/>
  <c r="AE217" i="1"/>
  <c r="AE216" i="1" s="1"/>
  <c r="AD217" i="1"/>
  <c r="AD216" i="1" s="1"/>
  <c r="AB217" i="1"/>
  <c r="AB216" i="1" s="1"/>
  <c r="V217" i="1"/>
  <c r="T217" i="1" s="1"/>
  <c r="U217" i="1"/>
  <c r="U216" i="1" s="1"/>
  <c r="S217" i="1"/>
  <c r="M217" i="1"/>
  <c r="G217" i="1"/>
  <c r="G216" i="1" s="1"/>
  <c r="FN216" i="1"/>
  <c r="FL216" i="1"/>
  <c r="ER216" i="1"/>
  <c r="EP216" i="1"/>
  <c r="CP216" i="1"/>
  <c r="BK216" i="1"/>
  <c r="ID213" i="1"/>
  <c r="HZ213" i="1"/>
  <c r="HV213" i="1"/>
  <c r="HR213" i="1"/>
  <c r="HN213" i="1"/>
  <c r="HJ213" i="1"/>
  <c r="GX213" i="1"/>
  <c r="FR213" i="1"/>
  <c r="FF213" i="1"/>
  <c r="FB213" i="1"/>
  <c r="EV213" i="1"/>
  <c r="EJ213" i="1"/>
  <c r="EF213" i="1"/>
  <c r="EC213" i="1"/>
  <c r="EB213" i="1"/>
  <c r="EB285" i="1" s="1"/>
  <c r="EA213" i="1"/>
  <c r="IC211" i="1"/>
  <c r="IB211" i="1"/>
  <c r="HY211" i="1"/>
  <c r="HX211" i="1"/>
  <c r="HU211" i="1"/>
  <c r="HT211" i="1"/>
  <c r="HQ211" i="1"/>
  <c r="HP211" i="1"/>
  <c r="HM211" i="1"/>
  <c r="HL211" i="1"/>
  <c r="HI211" i="1"/>
  <c r="HH211" i="1"/>
  <c r="GW211" i="1"/>
  <c r="GV211" i="1"/>
  <c r="FQ211" i="1"/>
  <c r="FP211" i="1"/>
  <c r="FM211" i="1"/>
  <c r="FM359" i="1" s="1"/>
  <c r="FM397" i="1" s="1"/>
  <c r="FM14" i="1" s="1"/>
  <c r="FL211" i="1"/>
  <c r="FI211" i="1"/>
  <c r="FH211" i="1"/>
  <c r="FE211" i="1"/>
  <c r="FD211" i="1"/>
  <c r="FA211" i="1"/>
  <c r="EX211" i="1"/>
  <c r="EU211" i="1"/>
  <c r="ET211" i="1"/>
  <c r="EQ211" i="1"/>
  <c r="EQ359" i="1" s="1"/>
  <c r="EQ397" i="1" s="1"/>
  <c r="EQ14" i="1" s="1"/>
  <c r="EP211" i="1"/>
  <c r="EM211" i="1"/>
  <c r="EM359" i="1" s="1"/>
  <c r="EM397" i="1" s="1"/>
  <c r="EL211" i="1"/>
  <c r="EI211" i="1"/>
  <c r="EH211" i="1"/>
  <c r="EE211" i="1"/>
  <c r="EC211" i="1"/>
  <c r="EB211" i="1"/>
  <c r="EA211" i="1"/>
  <c r="DY211" i="1"/>
  <c r="DV211" i="1"/>
  <c r="DS211" i="1"/>
  <c r="DP211" i="1"/>
  <c r="DM211" i="1"/>
  <c r="DJ211" i="1"/>
  <c r="DG211" i="1"/>
  <c r="DD211" i="1"/>
  <c r="DA211" i="1"/>
  <c r="CX211" i="1"/>
  <c r="CC211" i="1"/>
  <c r="BZ211" i="1"/>
  <c r="BX211" i="1"/>
  <c r="BW211" i="1"/>
  <c r="BT211" i="1"/>
  <c r="BR211" i="1"/>
  <c r="BQ211" i="1"/>
  <c r="BP211" i="1"/>
  <c r="BO211" i="1"/>
  <c r="BN211" i="1"/>
  <c r="BM211" i="1"/>
  <c r="BJ211" i="1"/>
  <c r="BI211" i="1"/>
  <c r="BG211" i="1"/>
  <c r="AZ211" i="1"/>
  <c r="AX211" i="1"/>
  <c r="AW211" i="1"/>
  <c r="AU211" i="1"/>
  <c r="AT211" i="1"/>
  <c r="AQ211" i="1"/>
  <c r="AP211" i="1"/>
  <c r="AN211" i="1"/>
  <c r="AM211" i="1"/>
  <c r="AJ211" i="1"/>
  <c r="AI211" i="1"/>
  <c r="AG211" i="1"/>
  <c r="AE211" i="1"/>
  <c r="AD211" i="1"/>
  <c r="AB211" i="1"/>
  <c r="AA211" i="1"/>
  <c r="Y211" i="1"/>
  <c r="P211" i="1"/>
  <c r="J211" i="1"/>
  <c r="ID209" i="1"/>
  <c r="IC209" i="1"/>
  <c r="HZ209" i="1"/>
  <c r="HY209" i="1"/>
  <c r="HV209" i="1"/>
  <c r="HU209" i="1"/>
  <c r="HR209" i="1"/>
  <c r="HQ209" i="1"/>
  <c r="HJ209" i="1"/>
  <c r="HI209" i="1"/>
  <c r="GX209" i="1"/>
  <c r="GW209" i="1"/>
  <c r="FR209" i="1"/>
  <c r="FQ209" i="1"/>
  <c r="FJ209" i="1"/>
  <c r="FI209" i="1"/>
  <c r="FF209" i="1"/>
  <c r="FF357" i="1" s="1"/>
  <c r="FE209" i="1"/>
  <c r="FE357" i="1" s="1"/>
  <c r="EV209" i="1"/>
  <c r="EU209" i="1"/>
  <c r="EN209" i="1"/>
  <c r="EM209" i="1"/>
  <c r="EM357" i="1" s="1"/>
  <c r="EM27" i="1" s="1"/>
  <c r="EJ209" i="1"/>
  <c r="EI209" i="1"/>
  <c r="IC208" i="1"/>
  <c r="HY208" i="1"/>
  <c r="HU208" i="1"/>
  <c r="HQ208" i="1"/>
  <c r="HM208" i="1"/>
  <c r="HI208" i="1"/>
  <c r="GW208" i="1"/>
  <c r="FI208" i="1"/>
  <c r="EU208" i="1"/>
  <c r="EM208" i="1"/>
  <c r="IC207" i="1"/>
  <c r="HY207" i="1"/>
  <c r="HU207" i="1"/>
  <c r="HQ207" i="1"/>
  <c r="HM207" i="1"/>
  <c r="HI207" i="1"/>
  <c r="GW207" i="1"/>
  <c r="FM207" i="1"/>
  <c r="FI207" i="1"/>
  <c r="EU207" i="1"/>
  <c r="EQ207" i="1"/>
  <c r="EM207" i="1"/>
  <c r="IB206" i="1"/>
  <c r="IA206" i="1" s="1"/>
  <c r="HX206" i="1"/>
  <c r="HW206" i="1" s="1"/>
  <c r="HT206" i="1"/>
  <c r="HS206" i="1" s="1"/>
  <c r="HP206" i="1"/>
  <c r="HO206" i="1" s="1"/>
  <c r="HL206" i="1"/>
  <c r="HK206" i="1" s="1"/>
  <c r="HH206" i="1"/>
  <c r="HG206" i="1" s="1"/>
  <c r="GV206" i="1"/>
  <c r="GU206" i="1" s="1"/>
  <c r="FP206" i="1"/>
  <c r="FO206" i="1" s="1"/>
  <c r="FD206" i="1"/>
  <c r="FA206" i="1" s="1"/>
  <c r="EZ206" i="1" s="1"/>
  <c r="EW206" i="1"/>
  <c r="ES206" i="1"/>
  <c r="DU206" i="1"/>
  <c r="DJ206" i="1"/>
  <c r="CW206" i="1"/>
  <c r="ES205" i="1"/>
  <c r="EK205" i="1"/>
  <c r="IB204" i="1"/>
  <c r="IA204" i="1" s="1"/>
  <c r="HX204" i="1"/>
  <c r="HT204" i="1"/>
  <c r="HS204" i="1" s="1"/>
  <c r="HP204" i="1"/>
  <c r="HL204" i="1"/>
  <c r="HK204" i="1" s="1"/>
  <c r="HH204" i="1"/>
  <c r="GV204" i="1"/>
  <c r="GV203" i="1" s="1"/>
  <c r="GU203" i="1" s="1"/>
  <c r="FP204" i="1"/>
  <c r="FD204" i="1"/>
  <c r="EW204" i="1"/>
  <c r="ES204" i="1"/>
  <c r="EK204" i="1"/>
  <c r="DU204" i="1"/>
  <c r="DJ204" i="1"/>
  <c r="DG204" i="1" s="1"/>
  <c r="DF204" i="1" s="1"/>
  <c r="CW204" i="1"/>
  <c r="FB203" i="1"/>
  <c r="EX203" i="1"/>
  <c r="EW203" i="1" s="1"/>
  <c r="EV203" i="1"/>
  <c r="ES203" i="1"/>
  <c r="EF203" i="1"/>
  <c r="EC203" i="1"/>
  <c r="EB203" i="1"/>
  <c r="EA203" i="1"/>
  <c r="DW203" i="1"/>
  <c r="DV203" i="1"/>
  <c r="DU203" i="1" s="1"/>
  <c r="DE203" i="1"/>
  <c r="DD203" i="1"/>
  <c r="DC203" i="1"/>
  <c r="CX203" i="1"/>
  <c r="CW203" i="1" s="1"/>
  <c r="IA201" i="1"/>
  <c r="HS201" i="1"/>
  <c r="HO201" i="1"/>
  <c r="HL201" i="1"/>
  <c r="HH201" i="1"/>
  <c r="HG201" i="1" s="1"/>
  <c r="GU201" i="1"/>
  <c r="FO201" i="1"/>
  <c r="FH201" i="1"/>
  <c r="FG201" i="1" s="1"/>
  <c r="FC201" i="1"/>
  <c r="FA201" i="1"/>
  <c r="EZ201" i="1" s="1"/>
  <c r="EW201" i="1"/>
  <c r="ES201" i="1"/>
  <c r="EL201" i="1"/>
  <c r="EK201" i="1" s="1"/>
  <c r="EG201" i="1"/>
  <c r="EE201" i="1"/>
  <c r="DU201" i="1"/>
  <c r="DJ201" i="1"/>
  <c r="DI201" i="1" s="1"/>
  <c r="CW201" i="1"/>
  <c r="IA200" i="1"/>
  <c r="HS200" i="1"/>
  <c r="HO200" i="1"/>
  <c r="HL200" i="1"/>
  <c r="HK200" i="1" s="1"/>
  <c r="HH200" i="1"/>
  <c r="HG200" i="1" s="1"/>
  <c r="GU200" i="1"/>
  <c r="FO200" i="1"/>
  <c r="FH200" i="1"/>
  <c r="FG200" i="1" s="1"/>
  <c r="FC200" i="1"/>
  <c r="FA200" i="1"/>
  <c r="EZ200" i="1" s="1"/>
  <c r="EW200" i="1"/>
  <c r="ES200" i="1"/>
  <c r="EL200" i="1"/>
  <c r="EK200" i="1" s="1"/>
  <c r="EG200" i="1"/>
  <c r="EE200" i="1"/>
  <c r="ED200" i="1" s="1"/>
  <c r="DU200" i="1"/>
  <c r="DJ200" i="1"/>
  <c r="DG200" i="1" s="1"/>
  <c r="DF200" i="1" s="1"/>
  <c r="CW200" i="1"/>
  <c r="IA199" i="1"/>
  <c r="HS199" i="1"/>
  <c r="HO199" i="1"/>
  <c r="HL199" i="1"/>
  <c r="HX199" i="1" s="1"/>
  <c r="HW199" i="1" s="1"/>
  <c r="HH199" i="1"/>
  <c r="HG199" i="1" s="1"/>
  <c r="GU199" i="1"/>
  <c r="FO199" i="1"/>
  <c r="FH199" i="1"/>
  <c r="FG199" i="1" s="1"/>
  <c r="FC199" i="1"/>
  <c r="FA199" i="1"/>
  <c r="EW199" i="1"/>
  <c r="ES199" i="1"/>
  <c r="EL199" i="1"/>
  <c r="EK199" i="1" s="1"/>
  <c r="EG199" i="1"/>
  <c r="EE199" i="1"/>
  <c r="ED199" i="1" s="1"/>
  <c r="DU199" i="1"/>
  <c r="DJ199" i="1"/>
  <c r="CW199" i="1"/>
  <c r="IB198" i="1"/>
  <c r="IA198" i="1" s="1"/>
  <c r="HT198" i="1"/>
  <c r="HP198" i="1"/>
  <c r="GV198" i="1"/>
  <c r="GU198" i="1" s="1"/>
  <c r="FP198" i="1"/>
  <c r="FO198" i="1" s="1"/>
  <c r="FD198" i="1"/>
  <c r="ES198" i="1"/>
  <c r="EH198" i="1"/>
  <c r="EG198" i="1" s="1"/>
  <c r="FB197" i="1"/>
  <c r="EX197" i="1"/>
  <c r="EW197" i="1" s="1"/>
  <c r="EV197" i="1"/>
  <c r="ES197" i="1"/>
  <c r="EF197" i="1"/>
  <c r="EC197" i="1"/>
  <c r="DW197" i="1"/>
  <c r="DV197" i="1"/>
  <c r="DU197" i="1" s="1"/>
  <c r="DE197" i="1"/>
  <c r="CX197" i="1"/>
  <c r="GU195" i="1"/>
  <c r="FG195" i="1"/>
  <c r="EW195" i="1"/>
  <c r="ES195" i="1"/>
  <c r="EK195" i="1"/>
  <c r="EE195" i="1"/>
  <c r="ED195" i="1" s="1"/>
  <c r="DJ195" i="1"/>
  <c r="DI195" i="1" s="1"/>
  <c r="CW195" i="1"/>
  <c r="IA194" i="1"/>
  <c r="HS194" i="1"/>
  <c r="HO194" i="1"/>
  <c r="HL194" i="1"/>
  <c r="HH194" i="1"/>
  <c r="HG194" i="1" s="1"/>
  <c r="GU194" i="1"/>
  <c r="FO194" i="1"/>
  <c r="FG194" i="1"/>
  <c r="FC194" i="1"/>
  <c r="FA194" i="1"/>
  <c r="EZ194" i="1" s="1"/>
  <c r="EW194" i="1"/>
  <c r="ES194" i="1"/>
  <c r="EL194" i="1"/>
  <c r="EG194" i="1"/>
  <c r="EE194" i="1"/>
  <c r="ED194" i="1" s="1"/>
  <c r="DU194" i="1"/>
  <c r="DJ194" i="1"/>
  <c r="CW194" i="1"/>
  <c r="IA193" i="1"/>
  <c r="HS193" i="1"/>
  <c r="HO193" i="1"/>
  <c r="HL193" i="1"/>
  <c r="HH193" i="1"/>
  <c r="HG193" i="1" s="1"/>
  <c r="GU193" i="1"/>
  <c r="FP193" i="1"/>
  <c r="FC193" i="1"/>
  <c r="FA193" i="1"/>
  <c r="EW193" i="1"/>
  <c r="ES193" i="1"/>
  <c r="EK193" i="1"/>
  <c r="EH193" i="1"/>
  <c r="EG193" i="1" s="1"/>
  <c r="DU193" i="1"/>
  <c r="DJ193" i="1"/>
  <c r="DG193" i="1" s="1"/>
  <c r="CW193" i="1"/>
  <c r="IB192" i="1"/>
  <c r="HT192" i="1"/>
  <c r="HT214" i="1" s="1"/>
  <c r="HP192" i="1"/>
  <c r="GV192" i="1"/>
  <c r="FD191" i="1"/>
  <c r="ET192" i="1"/>
  <c r="FN191" i="1"/>
  <c r="FJ191" i="1"/>
  <c r="FB191" i="1"/>
  <c r="EX191" i="1"/>
  <c r="EV191" i="1"/>
  <c r="ER191" i="1"/>
  <c r="EN191" i="1"/>
  <c r="EF191" i="1"/>
  <c r="EC191" i="1"/>
  <c r="EB191" i="1"/>
  <c r="EA191" i="1"/>
  <c r="DW191" i="1"/>
  <c r="DV191" i="1"/>
  <c r="DT191" i="1"/>
  <c r="DQ191" i="1"/>
  <c r="DN191" i="1"/>
  <c r="DK191" i="1"/>
  <c r="DH191" i="1"/>
  <c r="DE191" i="1"/>
  <c r="DD191" i="1"/>
  <c r="DC191" i="1"/>
  <c r="CY191" i="1"/>
  <c r="CX191" i="1"/>
  <c r="FR190" i="1"/>
  <c r="FR189" i="1" s="1"/>
  <c r="FQ190" i="1"/>
  <c r="FQ189" i="1" s="1"/>
  <c r="FF190" i="1"/>
  <c r="FE190" i="1"/>
  <c r="EJ190" i="1"/>
  <c r="EJ189" i="1" s="1"/>
  <c r="EJ17" i="1" s="1"/>
  <c r="EI190" i="1"/>
  <c r="EI189" i="1" s="1"/>
  <c r="EI208" i="1" s="1"/>
  <c r="ID188" i="1"/>
  <c r="ID172" i="1" s="1"/>
  <c r="HS188" i="1"/>
  <c r="HO188" i="1"/>
  <c r="HJ188" i="1"/>
  <c r="HG188" i="1" s="1"/>
  <c r="GU188" i="1"/>
  <c r="FO188" i="1"/>
  <c r="FJ188" i="1"/>
  <c r="FC188" i="1"/>
  <c r="HO187" i="1"/>
  <c r="HG187" i="1"/>
  <c r="GU187" i="1"/>
  <c r="FR187" i="1"/>
  <c r="FO187" i="1" s="1"/>
  <c r="FC187" i="1"/>
  <c r="ES187" i="1"/>
  <c r="EL187" i="1"/>
  <c r="EK187" i="1" s="1"/>
  <c r="DS187" i="1"/>
  <c r="DR187" i="1" s="1"/>
  <c r="DO187" i="1"/>
  <c r="DL187" i="1"/>
  <c r="DI187" i="1"/>
  <c r="DG187" i="1"/>
  <c r="DF187" i="1" s="1"/>
  <c r="DC187" i="1"/>
  <c r="CZ187" i="1"/>
  <c r="CW187" i="1"/>
  <c r="CW186" i="1" s="1"/>
  <c r="BV187" i="1"/>
  <c r="BU187" i="1"/>
  <c r="BS187" i="1" s="1"/>
  <c r="BH187" i="1"/>
  <c r="BB187" i="1"/>
  <c r="BA187" i="1"/>
  <c r="AV187" i="1"/>
  <c r="AS187" i="1"/>
  <c r="AH187" i="1"/>
  <c r="AF187" i="1" s="1"/>
  <c r="AC187" i="1"/>
  <c r="Z187" i="1"/>
  <c r="AK187" i="1" s="1"/>
  <c r="Y187" i="1"/>
  <c r="W187" i="1" s="1"/>
  <c r="T187" i="1"/>
  <c r="S187" i="1"/>
  <c r="K187" i="1"/>
  <c r="J187" i="1"/>
  <c r="H187" i="1" s="1"/>
  <c r="E187" i="1"/>
  <c r="HO186" i="1"/>
  <c r="HG186" i="1"/>
  <c r="GU186" i="1"/>
  <c r="FR186" i="1"/>
  <c r="FO186" i="1" s="1"/>
  <c r="FC186" i="1"/>
  <c r="ET186" i="1"/>
  <c r="ES186" i="1" s="1"/>
  <c r="DJ186" i="1"/>
  <c r="DI186" i="1" s="1"/>
  <c r="CX186" i="1"/>
  <c r="HO185" i="1"/>
  <c r="HG185" i="1"/>
  <c r="GU185" i="1"/>
  <c r="FR185" i="1"/>
  <c r="FO185" i="1" s="1"/>
  <c r="FK185" i="1"/>
  <c r="FH185" i="1"/>
  <c r="FG185" i="1" s="1"/>
  <c r="FC185" i="1"/>
  <c r="EW185" i="1"/>
  <c r="EO185" i="1"/>
  <c r="EK185" i="1"/>
  <c r="EG185" i="1"/>
  <c r="DX185" i="1"/>
  <c r="DU185" i="1"/>
  <c r="DR185" i="1"/>
  <c r="DO185" i="1"/>
  <c r="DL185" i="1"/>
  <c r="DI185" i="1"/>
  <c r="DF185" i="1"/>
  <c r="CZ185" i="1"/>
  <c r="CW185" i="1"/>
  <c r="CT185" i="1"/>
  <c r="CQ185" i="1"/>
  <c r="CL185" i="1"/>
  <c r="CK185" i="1" s="1"/>
  <c r="CH185" i="1"/>
  <c r="CB185" i="1"/>
  <c r="CF185" i="1" s="1"/>
  <c r="BZ185" i="1"/>
  <c r="BV185" i="1"/>
  <c r="BL185" i="1"/>
  <c r="BH185" i="1"/>
  <c r="BF185" i="1"/>
  <c r="BE185" i="1" s="1"/>
  <c r="BB185" i="1"/>
  <c r="AY185" i="1"/>
  <c r="AW185" i="1"/>
  <c r="AV185" i="1" s="1"/>
  <c r="AS185" i="1"/>
  <c r="AI185" i="1"/>
  <c r="AF185" i="1"/>
  <c r="AR185" i="1" s="1"/>
  <c r="AC185" i="1"/>
  <c r="Z185" i="1"/>
  <c r="AK185" i="1" s="1"/>
  <c r="AL185" i="1" s="1"/>
  <c r="X185" i="1"/>
  <c r="W185" i="1" s="1"/>
  <c r="T185" i="1"/>
  <c r="Q185" i="1"/>
  <c r="O185" i="1"/>
  <c r="N185" i="1" s="1"/>
  <c r="K185" i="1"/>
  <c r="I185" i="1"/>
  <c r="E185" i="1"/>
  <c r="IA184" i="1"/>
  <c r="HS184" i="1"/>
  <c r="HO184" i="1"/>
  <c r="HH184" i="1"/>
  <c r="HG184" i="1"/>
  <c r="GU184" i="1"/>
  <c r="FR184" i="1"/>
  <c r="FO184" i="1" s="1"/>
  <c r="FK184" i="1"/>
  <c r="FH184" i="1"/>
  <c r="FC184" i="1"/>
  <c r="EW184" i="1"/>
  <c r="ET184" i="1"/>
  <c r="ES184" i="1" s="1"/>
  <c r="EO184" i="1"/>
  <c r="EK184" i="1"/>
  <c r="EG184" i="1"/>
  <c r="DX184" i="1"/>
  <c r="DU184" i="1"/>
  <c r="DR184" i="1"/>
  <c r="DO184" i="1"/>
  <c r="DL184" i="1"/>
  <c r="DI184" i="1"/>
  <c r="DF184" i="1"/>
  <c r="CZ184" i="1"/>
  <c r="CW184" i="1"/>
  <c r="CT184" i="1"/>
  <c r="CQ184" i="1"/>
  <c r="CL184" i="1"/>
  <c r="CH184" i="1"/>
  <c r="CB184" i="1"/>
  <c r="CF184" i="1" s="1"/>
  <c r="BY184" i="1"/>
  <c r="BV184" i="1"/>
  <c r="BH184" i="1"/>
  <c r="BF184" i="1"/>
  <c r="BB184" i="1"/>
  <c r="AZ184" i="1"/>
  <c r="AV184" i="1"/>
  <c r="AS184" i="1"/>
  <c r="AI184" i="1"/>
  <c r="AF184" i="1"/>
  <c r="AR184" i="1" s="1"/>
  <c r="AD184" i="1"/>
  <c r="AC184" i="1" s="1"/>
  <c r="Z184" i="1"/>
  <c r="AK184" i="1" s="1"/>
  <c r="AL184" i="1" s="1"/>
  <c r="X184" i="1"/>
  <c r="W184" i="1" s="1"/>
  <c r="T184" i="1"/>
  <c r="Q184" i="1"/>
  <c r="O184" i="1"/>
  <c r="N184" i="1" s="1"/>
  <c r="K184" i="1"/>
  <c r="I184" i="1"/>
  <c r="H184" i="1" s="1"/>
  <c r="E184" i="1"/>
  <c r="IB183" i="1"/>
  <c r="IA183" i="1" s="1"/>
  <c r="HT183" i="1"/>
  <c r="HS183" i="1" s="1"/>
  <c r="HP183" i="1"/>
  <c r="HO183" i="1"/>
  <c r="HL183" i="1"/>
  <c r="HK183" i="1" s="1"/>
  <c r="HG183" i="1"/>
  <c r="GV183" i="1"/>
  <c r="GU183" i="1" s="1"/>
  <c r="FR183" i="1"/>
  <c r="FO183" i="1" s="1"/>
  <c r="FP183" i="1"/>
  <c r="FN183" i="1"/>
  <c r="FL183" i="1"/>
  <c r="FJ183" i="1"/>
  <c r="FD183" i="1"/>
  <c r="FC183" i="1"/>
  <c r="EY183" i="1"/>
  <c r="EX183" i="1"/>
  <c r="ER183" i="1"/>
  <c r="EP183" i="1"/>
  <c r="EN183" i="1"/>
  <c r="EL183" i="1"/>
  <c r="EH183" i="1"/>
  <c r="EG183" i="1" s="1"/>
  <c r="DZ183" i="1"/>
  <c r="DY183" i="1"/>
  <c r="DV183" i="1"/>
  <c r="DU183" i="1" s="1"/>
  <c r="DT183" i="1"/>
  <c r="DS183" i="1"/>
  <c r="DQ183" i="1"/>
  <c r="DP183" i="1"/>
  <c r="DN183" i="1"/>
  <c r="DM183" i="1"/>
  <c r="DK183" i="1"/>
  <c r="DJ183" i="1"/>
  <c r="DH183" i="1"/>
  <c r="DG183" i="1"/>
  <c r="DB183" i="1"/>
  <c r="DA183" i="1"/>
  <c r="CY183" i="1"/>
  <c r="CX183" i="1"/>
  <c r="CT183" i="1"/>
  <c r="CS183" i="1"/>
  <c r="CR183" i="1"/>
  <c r="CO183" i="1"/>
  <c r="CN183" i="1" s="1"/>
  <c r="CJ183" i="1"/>
  <c r="CI183" i="1"/>
  <c r="CD183" i="1"/>
  <c r="CC183" i="1"/>
  <c r="BX183" i="1"/>
  <c r="BW183" i="1"/>
  <c r="BU183" i="1"/>
  <c r="BJ183" i="1"/>
  <c r="BI183" i="1"/>
  <c r="BD183" i="1"/>
  <c r="BC183" i="1"/>
  <c r="BA183" i="1"/>
  <c r="AU183" i="1"/>
  <c r="AT183" i="1"/>
  <c r="AH183" i="1"/>
  <c r="AG183" i="1"/>
  <c r="AE183" i="1"/>
  <c r="AB183" i="1"/>
  <c r="AA183" i="1"/>
  <c r="V183" i="1"/>
  <c r="U183" i="1"/>
  <c r="S183" i="1"/>
  <c r="R183" i="1"/>
  <c r="M183" i="1"/>
  <c r="L183" i="1"/>
  <c r="G183" i="1"/>
  <c r="F183" i="1"/>
  <c r="IA182" i="1"/>
  <c r="HW182" i="1"/>
  <c r="HS182" i="1"/>
  <c r="HO182" i="1"/>
  <c r="HK182" i="1"/>
  <c r="HG182" i="1"/>
  <c r="GU182" i="1"/>
  <c r="FR182" i="1"/>
  <c r="FO182" i="1" s="1"/>
  <c r="FK182" i="1"/>
  <c r="FG182" i="1"/>
  <c r="FC182" i="1"/>
  <c r="EW182" i="1"/>
  <c r="ES182" i="1"/>
  <c r="EO182" i="1"/>
  <c r="EK182" i="1"/>
  <c r="EG182" i="1"/>
  <c r="EE182" i="1"/>
  <c r="ED182" i="1" s="1"/>
  <c r="DX182" i="1"/>
  <c r="EH206" i="1" s="1"/>
  <c r="EE206" i="1" s="1"/>
  <c r="ED206" i="1" s="1"/>
  <c r="DU182" i="1"/>
  <c r="DP182" i="1"/>
  <c r="DM182" i="1"/>
  <c r="DI182" i="1"/>
  <c r="DG182" i="1"/>
  <c r="DF182" i="1" s="1"/>
  <c r="CZ182" i="1"/>
  <c r="CW182" i="1"/>
  <c r="CT182" i="1"/>
  <c r="CQ182" i="1"/>
  <c r="CL182" i="1"/>
  <c r="CK182" i="1" s="1"/>
  <c r="CH182" i="1"/>
  <c r="CC182" i="1"/>
  <c r="CB182" i="1" s="1"/>
  <c r="CF182" i="1" s="1"/>
  <c r="BV182" i="1"/>
  <c r="BL182" i="1"/>
  <c r="BH182" i="1"/>
  <c r="BF182" i="1"/>
  <c r="BB182" i="1"/>
  <c r="AY182" i="1"/>
  <c r="AW182" i="1"/>
  <c r="AV182" i="1" s="1"/>
  <c r="AS182" i="1"/>
  <c r="AI182" i="1"/>
  <c r="AF182" i="1"/>
  <c r="AR182" i="1" s="1"/>
  <c r="AC182" i="1"/>
  <c r="Z182" i="1"/>
  <c r="AK182" i="1" s="1"/>
  <c r="AL182" i="1" s="1"/>
  <c r="X182" i="1"/>
  <c r="W182" i="1" s="1"/>
  <c r="T182" i="1"/>
  <c r="Q182" i="1"/>
  <c r="O182" i="1"/>
  <c r="K182" i="1"/>
  <c r="I182" i="1"/>
  <c r="H182" i="1" s="1"/>
  <c r="E182" i="1"/>
  <c r="IA181" i="1"/>
  <c r="HW181" i="1"/>
  <c r="HS181" i="1"/>
  <c r="HO181" i="1"/>
  <c r="HK181" i="1"/>
  <c r="HG181" i="1"/>
  <c r="GU181" i="1"/>
  <c r="FR181" i="1"/>
  <c r="FK181" i="1"/>
  <c r="FH181" i="1"/>
  <c r="FC181" i="1"/>
  <c r="EW181" i="1"/>
  <c r="ES181" i="1"/>
  <c r="EO181" i="1"/>
  <c r="EK181" i="1"/>
  <c r="EG181" i="1"/>
  <c r="EE181" i="1"/>
  <c r="DX181" i="1"/>
  <c r="EH204" i="1" s="1"/>
  <c r="DU181" i="1"/>
  <c r="DO181" i="1"/>
  <c r="DM181" i="1"/>
  <c r="DL181" i="1" s="1"/>
  <c r="DI181" i="1"/>
  <c r="DG181" i="1"/>
  <c r="CZ181" i="1"/>
  <c r="CW181" i="1"/>
  <c r="CT181" i="1"/>
  <c r="CQ181" i="1"/>
  <c r="CL181" i="1"/>
  <c r="CK181" i="1" s="1"/>
  <c r="CH181" i="1"/>
  <c r="CC181" i="1"/>
  <c r="CB181" i="1" s="1"/>
  <c r="CF181" i="1" s="1"/>
  <c r="BY181" i="1"/>
  <c r="BV181" i="1"/>
  <c r="BH181" i="1"/>
  <c r="BF181" i="1"/>
  <c r="BE181" i="1" s="1"/>
  <c r="BB181" i="1"/>
  <c r="AZ181" i="1"/>
  <c r="BT181" i="1" s="1"/>
  <c r="AV181" i="1"/>
  <c r="AS181" i="1"/>
  <c r="AI181" i="1"/>
  <c r="AF181" i="1"/>
  <c r="AR181" i="1" s="1"/>
  <c r="AD181" i="1"/>
  <c r="Z181" i="1"/>
  <c r="AK181" i="1" s="1"/>
  <c r="AL181" i="1" s="1"/>
  <c r="X181" i="1"/>
  <c r="W181" i="1" s="1"/>
  <c r="T181" i="1"/>
  <c r="Q181" i="1"/>
  <c r="O181" i="1"/>
  <c r="N181" i="1" s="1"/>
  <c r="K181" i="1"/>
  <c r="I181" i="1"/>
  <c r="E181" i="1"/>
  <c r="IB180" i="1"/>
  <c r="IA180" i="1" s="1"/>
  <c r="HX180" i="1"/>
  <c r="HW180" i="1" s="1"/>
  <c r="HT180" i="1"/>
  <c r="HS180" i="1" s="1"/>
  <c r="HP180" i="1"/>
  <c r="HO180" i="1"/>
  <c r="HL180" i="1"/>
  <c r="HK180" i="1" s="1"/>
  <c r="HH180" i="1"/>
  <c r="HG180" i="1"/>
  <c r="GV180" i="1"/>
  <c r="GU180" i="1" s="1"/>
  <c r="FR180" i="1"/>
  <c r="FO180" i="1" s="1"/>
  <c r="FP180" i="1"/>
  <c r="FN180" i="1"/>
  <c r="FN203" i="1" s="1"/>
  <c r="FL180" i="1"/>
  <c r="FJ180" i="1"/>
  <c r="FJ203" i="1" s="1"/>
  <c r="FD180" i="1"/>
  <c r="FC180" i="1"/>
  <c r="EY180" i="1"/>
  <c r="EY203" i="1" s="1"/>
  <c r="EX180" i="1"/>
  <c r="ET180" i="1"/>
  <c r="ES180" i="1" s="1"/>
  <c r="ER180" i="1"/>
  <c r="ER203" i="1" s="1"/>
  <c r="EP180" i="1"/>
  <c r="EN180" i="1"/>
  <c r="EL180" i="1"/>
  <c r="EH180" i="1"/>
  <c r="EG180" i="1" s="1"/>
  <c r="DZ180" i="1"/>
  <c r="DZ203" i="1" s="1"/>
  <c r="DY180" i="1"/>
  <c r="DV180" i="1"/>
  <c r="DU180" i="1" s="1"/>
  <c r="DT180" i="1"/>
  <c r="DT203" i="1" s="1"/>
  <c r="DQ180" i="1"/>
  <c r="DQ203" i="1" s="1"/>
  <c r="DN180" i="1"/>
  <c r="DN203" i="1" s="1"/>
  <c r="DK180" i="1"/>
  <c r="DK203" i="1" s="1"/>
  <c r="DJ180" i="1"/>
  <c r="DH180" i="1"/>
  <c r="DH203" i="1" s="1"/>
  <c r="DB180" i="1"/>
  <c r="DB203" i="1" s="1"/>
  <c r="DA180" i="1"/>
  <c r="CY180" i="1"/>
  <c r="CY203" i="1" s="1"/>
  <c r="CX180" i="1"/>
  <c r="CT180" i="1"/>
  <c r="CS180" i="1"/>
  <c r="CR180" i="1"/>
  <c r="CO180" i="1"/>
  <c r="CN180" i="1" s="1"/>
  <c r="CJ180" i="1"/>
  <c r="CI180" i="1"/>
  <c r="CD180" i="1"/>
  <c r="BX180" i="1"/>
  <c r="BW180" i="1"/>
  <c r="BU180" i="1"/>
  <c r="BJ180" i="1"/>
  <c r="BI180" i="1"/>
  <c r="BD180" i="1"/>
  <c r="BC180" i="1"/>
  <c r="BA180" i="1"/>
  <c r="AU180" i="1"/>
  <c r="AT180" i="1"/>
  <c r="AH180" i="1"/>
  <c r="AG180" i="1"/>
  <c r="AE180" i="1"/>
  <c r="AB180" i="1"/>
  <c r="AA180" i="1"/>
  <c r="AI180" i="1" s="1"/>
  <c r="V180" i="1"/>
  <c r="U180" i="1"/>
  <c r="S180" i="1"/>
  <c r="R180" i="1"/>
  <c r="M180" i="1"/>
  <c r="L180" i="1"/>
  <c r="G180" i="1"/>
  <c r="F180" i="1"/>
  <c r="IA179" i="1"/>
  <c r="HW179" i="1"/>
  <c r="HS179" i="1"/>
  <c r="HO179" i="1"/>
  <c r="HK179" i="1"/>
  <c r="HG179" i="1"/>
  <c r="GU179" i="1"/>
  <c r="FR179" i="1"/>
  <c r="FO179" i="1" s="1"/>
  <c r="FK179" i="1"/>
  <c r="FG179" i="1"/>
  <c r="FC179" i="1"/>
  <c r="FA179" i="1"/>
  <c r="EZ179" i="1" s="1"/>
  <c r="EW179" i="1"/>
  <c r="ES179" i="1"/>
  <c r="EO179" i="1"/>
  <c r="EK179" i="1"/>
  <c r="EG179" i="1"/>
  <c r="DX179" i="1"/>
  <c r="DV179" i="1"/>
  <c r="DP179" i="1"/>
  <c r="DO179" i="1" s="1"/>
  <c r="DL179" i="1"/>
  <c r="DI179" i="1"/>
  <c r="DG179" i="1"/>
  <c r="DF179" i="1" s="1"/>
  <c r="CZ179" i="1"/>
  <c r="CW179" i="1"/>
  <c r="CT179" i="1"/>
  <c r="CQ179" i="1"/>
  <c r="CL179" i="1"/>
  <c r="CK179" i="1" s="1"/>
  <c r="CH179" i="1"/>
  <c r="CC179" i="1"/>
  <c r="CC176" i="1" s="1"/>
  <c r="BV179" i="1"/>
  <c r="BS179" i="1"/>
  <c r="BL179" i="1"/>
  <c r="BH179" i="1"/>
  <c r="BF179" i="1" s="1"/>
  <c r="BE179" i="1" s="1"/>
  <c r="BB179" i="1"/>
  <c r="AY179" i="1"/>
  <c r="AW179" i="1"/>
  <c r="AV179" i="1" s="1"/>
  <c r="AS179" i="1"/>
  <c r="AI179" i="1"/>
  <c r="AF179" i="1"/>
  <c r="AC179" i="1"/>
  <c r="Z179" i="1"/>
  <c r="AK179" i="1" s="1"/>
  <c r="AL179" i="1" s="1"/>
  <c r="X179" i="1"/>
  <c r="W179" i="1" s="1"/>
  <c r="T179" i="1"/>
  <c r="Q179" i="1"/>
  <c r="O179" i="1"/>
  <c r="N179" i="1" s="1"/>
  <c r="K179" i="1"/>
  <c r="I179" i="1"/>
  <c r="E179" i="1"/>
  <c r="IA178" i="1"/>
  <c r="HW178" i="1"/>
  <c r="HS178" i="1"/>
  <c r="HO178" i="1"/>
  <c r="HK178" i="1"/>
  <c r="HG178" i="1"/>
  <c r="GU178" i="1"/>
  <c r="FR178" i="1"/>
  <c r="FO178" i="1" s="1"/>
  <c r="FC178" i="1"/>
  <c r="FA178" i="1"/>
  <c r="EZ178" i="1" s="1"/>
  <c r="EW178" i="1"/>
  <c r="ES178" i="1"/>
  <c r="EG178" i="1"/>
  <c r="DV178" i="1"/>
  <c r="DV176" i="1" s="1"/>
  <c r="DU176" i="1" s="1"/>
  <c r="DS178" i="1"/>
  <c r="DR178" i="1" s="1"/>
  <c r="DO178" i="1"/>
  <c r="DL178" i="1"/>
  <c r="DI178" i="1"/>
  <c r="DG178" i="1"/>
  <c r="DF178" i="1" s="1"/>
  <c r="CW178" i="1"/>
  <c r="IA177" i="1"/>
  <c r="HW177" i="1"/>
  <c r="HS177" i="1"/>
  <c r="HO177" i="1"/>
  <c r="HK177" i="1"/>
  <c r="HG177" i="1"/>
  <c r="GU177" i="1"/>
  <c r="FR177" i="1"/>
  <c r="FO177" i="1" s="1"/>
  <c r="FK177" i="1"/>
  <c r="FG177" i="1"/>
  <c r="FC177" i="1"/>
  <c r="FA177" i="1"/>
  <c r="EZ177" i="1" s="1"/>
  <c r="EW177" i="1"/>
  <c r="ES177" i="1"/>
  <c r="EO177" i="1"/>
  <c r="EK177" i="1"/>
  <c r="EG177" i="1"/>
  <c r="EE177" i="1"/>
  <c r="ED177" i="1" s="1"/>
  <c r="EB177" i="1"/>
  <c r="EA177" i="1" s="1"/>
  <c r="DX177" i="1"/>
  <c r="DU177" i="1"/>
  <c r="DP177" i="1"/>
  <c r="DO177" i="1" s="1"/>
  <c r="DL177" i="1"/>
  <c r="DI177" i="1"/>
  <c r="DG177" i="1"/>
  <c r="DF177" i="1" s="1"/>
  <c r="DD177" i="1"/>
  <c r="DC177" i="1" s="1"/>
  <c r="CZ177" i="1"/>
  <c r="CW177" i="1"/>
  <c r="CU177" i="1"/>
  <c r="CT177" i="1" s="1"/>
  <c r="CQ177" i="1"/>
  <c r="CL177" i="1"/>
  <c r="CK177" i="1" s="1"/>
  <c r="CH177" i="1"/>
  <c r="CB177" i="1"/>
  <c r="CF177" i="1" s="1"/>
  <c r="BZ177" i="1"/>
  <c r="BV177" i="1"/>
  <c r="BS177" i="1"/>
  <c r="BL177" i="1"/>
  <c r="BH177" i="1"/>
  <c r="BE177" i="1"/>
  <c r="BB177" i="1"/>
  <c r="AY177" i="1"/>
  <c r="AW177" i="1"/>
  <c r="AV177" i="1" s="1"/>
  <c r="AS177" i="1"/>
  <c r="AI177" i="1"/>
  <c r="AF177" i="1"/>
  <c r="AC177" i="1"/>
  <c r="Z177" i="1"/>
  <c r="AK177" i="1" s="1"/>
  <c r="AL177" i="1" s="1"/>
  <c r="X177" i="1"/>
  <c r="T177" i="1"/>
  <c r="Q177" i="1"/>
  <c r="O177" i="1"/>
  <c r="K177" i="1"/>
  <c r="I177" i="1"/>
  <c r="H177" i="1" s="1"/>
  <c r="E177" i="1"/>
  <c r="IB176" i="1"/>
  <c r="HX176" i="1"/>
  <c r="HW176" i="1" s="1"/>
  <c r="HT176" i="1"/>
  <c r="HS176" i="1" s="1"/>
  <c r="HP176" i="1"/>
  <c r="HO176" i="1"/>
  <c r="HL176" i="1"/>
  <c r="HK176" i="1" s="1"/>
  <c r="HH176" i="1"/>
  <c r="HG176" i="1"/>
  <c r="GV176" i="1"/>
  <c r="GU176" i="1" s="1"/>
  <c r="FR176" i="1"/>
  <c r="FO176" i="1" s="1"/>
  <c r="FP176" i="1"/>
  <c r="FN176" i="1"/>
  <c r="FL176" i="1"/>
  <c r="FL197" i="1" s="1"/>
  <c r="FJ176" i="1"/>
  <c r="FJ197" i="1" s="1"/>
  <c r="FH176" i="1"/>
  <c r="FD176" i="1"/>
  <c r="FC176" i="1"/>
  <c r="EY176" i="1"/>
  <c r="EY197" i="1" s="1"/>
  <c r="EX176" i="1"/>
  <c r="ET176" i="1"/>
  <c r="ER176" i="1"/>
  <c r="EP176" i="1"/>
  <c r="EN176" i="1"/>
  <c r="EN197" i="1" s="1"/>
  <c r="EL176" i="1"/>
  <c r="EH176" i="1"/>
  <c r="EG176" i="1" s="1"/>
  <c r="DZ176" i="1"/>
  <c r="DY176" i="1"/>
  <c r="DT176" i="1"/>
  <c r="DQ176" i="1"/>
  <c r="DN176" i="1"/>
  <c r="DN197" i="1" s="1"/>
  <c r="DM176" i="1"/>
  <c r="DK176" i="1"/>
  <c r="DJ176" i="1"/>
  <c r="DH176" i="1"/>
  <c r="DH197" i="1" s="1"/>
  <c r="DB176" i="1"/>
  <c r="DB197" i="1" s="1"/>
  <c r="DA176" i="1"/>
  <c r="DA197" i="1" s="1"/>
  <c r="CY176" i="1"/>
  <c r="CY197" i="1" s="1"/>
  <c r="CX176" i="1"/>
  <c r="CU176" i="1"/>
  <c r="CT176" i="1" s="1"/>
  <c r="CS176" i="1"/>
  <c r="CR176" i="1"/>
  <c r="CJ176" i="1"/>
  <c r="CI176" i="1"/>
  <c r="CD176" i="1"/>
  <c r="BX176" i="1"/>
  <c r="BW176" i="1"/>
  <c r="BJ176" i="1"/>
  <c r="BI176" i="1"/>
  <c r="BT176" i="1" s="1"/>
  <c r="BS176" i="1" s="1"/>
  <c r="BD176" i="1"/>
  <c r="BC176" i="1"/>
  <c r="BA176" i="1"/>
  <c r="AZ176" i="1"/>
  <c r="BL176" i="1" s="1"/>
  <c r="AU176" i="1"/>
  <c r="AT176" i="1"/>
  <c r="AJ176" i="1"/>
  <c r="AH176" i="1"/>
  <c r="AG176" i="1"/>
  <c r="AE176" i="1"/>
  <c r="AD176" i="1"/>
  <c r="AB176" i="1"/>
  <c r="AA176" i="1"/>
  <c r="V176" i="1"/>
  <c r="U176" i="1"/>
  <c r="S176" i="1"/>
  <c r="R176" i="1"/>
  <c r="M176" i="1"/>
  <c r="L176" i="1"/>
  <c r="G176" i="1"/>
  <c r="F176" i="1"/>
  <c r="ID175" i="1"/>
  <c r="HZ175" i="1"/>
  <c r="HV175" i="1"/>
  <c r="HR175" i="1"/>
  <c r="HO175" i="1" s="1"/>
  <c r="HN175" i="1"/>
  <c r="HL175" i="1"/>
  <c r="HX175" i="1" s="1"/>
  <c r="HJ175" i="1"/>
  <c r="HG175" i="1" s="1"/>
  <c r="GX175" i="1"/>
  <c r="FF175" i="1"/>
  <c r="FB175" i="1"/>
  <c r="EV175" i="1"/>
  <c r="EJ175" i="1"/>
  <c r="FR175" i="1" s="1"/>
  <c r="FO175" i="1" s="1"/>
  <c r="EF175" i="1"/>
  <c r="EC175" i="1"/>
  <c r="DW175" i="1"/>
  <c r="DE175" i="1"/>
  <c r="IA174" i="1"/>
  <c r="HS174" i="1"/>
  <c r="HR174" i="1"/>
  <c r="HJ174" i="1" s="1"/>
  <c r="HG174" i="1" s="1"/>
  <c r="HN174" i="1"/>
  <c r="HK174" i="1" s="1"/>
  <c r="GU174" i="1"/>
  <c r="FR174" i="1"/>
  <c r="FN174" i="1" s="1"/>
  <c r="FK174" i="1" s="1"/>
  <c r="FC174" i="1"/>
  <c r="EW174" i="1"/>
  <c r="ES174" i="1"/>
  <c r="ER174" i="1"/>
  <c r="EO174" i="1" s="1"/>
  <c r="EK174" i="1"/>
  <c r="EG174" i="1"/>
  <c r="EF174" i="1"/>
  <c r="ED174" i="1" s="1"/>
  <c r="DU174" i="1"/>
  <c r="DK174" i="1"/>
  <c r="CW174" i="1"/>
  <c r="IA173" i="1"/>
  <c r="HZ173" i="1"/>
  <c r="HW173" i="1" s="1"/>
  <c r="HS173" i="1"/>
  <c r="HO173" i="1"/>
  <c r="HN173" i="1"/>
  <c r="HN172" i="1" s="1"/>
  <c r="HK172" i="1" s="1"/>
  <c r="HG173" i="1"/>
  <c r="GU173" i="1"/>
  <c r="FR173" i="1"/>
  <c r="FN173" i="1" s="1"/>
  <c r="FK173" i="1" s="1"/>
  <c r="FK172" i="1" s="1"/>
  <c r="FG173" i="1"/>
  <c r="FC173" i="1"/>
  <c r="EG173" i="1"/>
  <c r="HV172" i="1"/>
  <c r="HS172" i="1" s="1"/>
  <c r="HR172" i="1"/>
  <c r="HO172" i="1" s="1"/>
  <c r="GX172" i="1"/>
  <c r="GU172" i="1" s="1"/>
  <c r="FL172" i="1"/>
  <c r="FH172" i="1"/>
  <c r="EY172" i="1"/>
  <c r="EX172" i="1"/>
  <c r="EW172" i="1"/>
  <c r="EP172" i="1"/>
  <c r="EN172" i="1"/>
  <c r="EL172" i="1"/>
  <c r="EK172" i="1"/>
  <c r="EJ172" i="1"/>
  <c r="EG172" i="1" s="1"/>
  <c r="EF172" i="1"/>
  <c r="ED172" i="1" s="1"/>
  <c r="DZ172" i="1"/>
  <c r="DY172" i="1"/>
  <c r="DX172" i="1"/>
  <c r="DT172" i="1"/>
  <c r="DS172" i="1"/>
  <c r="DR172" i="1"/>
  <c r="DQ172" i="1"/>
  <c r="DP172" i="1"/>
  <c r="DO172" i="1"/>
  <c r="DN172" i="1"/>
  <c r="DM172" i="1"/>
  <c r="DL172" i="1"/>
  <c r="DK172" i="1"/>
  <c r="DJ172" i="1"/>
  <c r="DI172" i="1"/>
  <c r="DH172" i="1"/>
  <c r="DG172" i="1"/>
  <c r="DF172" i="1"/>
  <c r="DB172" i="1"/>
  <c r="DA172" i="1"/>
  <c r="CZ172" i="1"/>
  <c r="CY172" i="1"/>
  <c r="CX172" i="1"/>
  <c r="CW172" i="1"/>
  <c r="CV172" i="1"/>
  <c r="CU172" i="1"/>
  <c r="CT172" i="1"/>
  <c r="CS172" i="1"/>
  <c r="CR172" i="1"/>
  <c r="CQ172" i="1"/>
  <c r="CP172" i="1"/>
  <c r="CO172" i="1"/>
  <c r="CN172" i="1"/>
  <c r="CM172" i="1"/>
  <c r="CL172" i="1"/>
  <c r="CK172" i="1"/>
  <c r="CJ172" i="1"/>
  <c r="CI172" i="1"/>
  <c r="CH172" i="1"/>
  <c r="CG172" i="1"/>
  <c r="CF172" i="1"/>
  <c r="CE172" i="1"/>
  <c r="CD172" i="1"/>
  <c r="CC172" i="1"/>
  <c r="CB172" i="1"/>
  <c r="FN171" i="1"/>
  <c r="ES171" i="1"/>
  <c r="ES170" i="1" s="1"/>
  <c r="ER171" i="1"/>
  <c r="HJ170" i="1"/>
  <c r="HG170" i="1" s="1"/>
  <c r="FL170" i="1"/>
  <c r="FJ170" i="1"/>
  <c r="FH170" i="1"/>
  <c r="FG170" i="1"/>
  <c r="FR170" i="1" s="1"/>
  <c r="FO170" i="1" s="1"/>
  <c r="GX170" i="1" s="1"/>
  <c r="GU170" i="1" s="1"/>
  <c r="EY170" i="1"/>
  <c r="FF170" i="1" s="1"/>
  <c r="EX170" i="1"/>
  <c r="EW170" i="1"/>
  <c r="EV170" i="1"/>
  <c r="EP170" i="1"/>
  <c r="EN170" i="1"/>
  <c r="EL170" i="1"/>
  <c r="EK170" i="1"/>
  <c r="EJ170" i="1"/>
  <c r="EG170" i="1" s="1"/>
  <c r="EF170" i="1"/>
  <c r="ED170" i="1" s="1"/>
  <c r="DZ170" i="1"/>
  <c r="DY170" i="1"/>
  <c r="DX170" i="1"/>
  <c r="DT170" i="1"/>
  <c r="DS170" i="1"/>
  <c r="DR170" i="1"/>
  <c r="DQ170" i="1"/>
  <c r="DP170" i="1"/>
  <c r="DO170" i="1"/>
  <c r="DN170" i="1"/>
  <c r="DM170" i="1"/>
  <c r="DL170" i="1"/>
  <c r="DK170" i="1"/>
  <c r="DJ170" i="1"/>
  <c r="DI170" i="1"/>
  <c r="DH170" i="1"/>
  <c r="DG170" i="1"/>
  <c r="DF170" i="1"/>
  <c r="DB170" i="1"/>
  <c r="DA170" i="1"/>
  <c r="CZ170" i="1"/>
  <c r="CY170" i="1"/>
  <c r="CX170" i="1"/>
  <c r="CW170" i="1"/>
  <c r="CV170" i="1"/>
  <c r="CU170" i="1"/>
  <c r="CT170" i="1"/>
  <c r="CS170" i="1"/>
  <c r="CR170" i="1"/>
  <c r="CQ170" i="1"/>
  <c r="CP170" i="1"/>
  <c r="CO170" i="1"/>
  <c r="CN170" i="1"/>
  <c r="CM170" i="1"/>
  <c r="CL170" i="1"/>
  <c r="CK170" i="1"/>
  <c r="CJ170" i="1"/>
  <c r="CI170" i="1"/>
  <c r="CH170" i="1"/>
  <c r="CG170" i="1"/>
  <c r="CF170" i="1"/>
  <c r="CE170" i="1"/>
  <c r="CD170" i="1"/>
  <c r="CC170" i="1"/>
  <c r="CB170" i="1"/>
  <c r="ID169" i="1"/>
  <c r="HZ169" i="1" s="1"/>
  <c r="HW169" i="1" s="1"/>
  <c r="HS169" i="1"/>
  <c r="HJ169" i="1"/>
  <c r="HG169" i="1" s="1"/>
  <c r="GX169" i="1"/>
  <c r="GU169" i="1" s="1"/>
  <c r="FO169" i="1"/>
  <c r="FG169" i="1"/>
  <c r="FG168" i="1" s="1"/>
  <c r="FF169" i="1"/>
  <c r="FC169" i="1" s="1"/>
  <c r="EW169" i="1"/>
  <c r="EW168" i="1" s="1"/>
  <c r="EV169" i="1"/>
  <c r="EK169" i="1"/>
  <c r="EK168" i="1" s="1"/>
  <c r="EG169" i="1"/>
  <c r="EF169" i="1"/>
  <c r="EF168" i="1" s="1"/>
  <c r="ED168" i="1" s="1"/>
  <c r="DX169" i="1"/>
  <c r="DX168" i="1" s="1"/>
  <c r="DT169" i="1"/>
  <c r="DR169" i="1" s="1"/>
  <c r="DR168" i="1" s="1"/>
  <c r="DO169" i="1"/>
  <c r="DO168" i="1" s="1"/>
  <c r="DL169" i="1"/>
  <c r="DL168" i="1" s="1"/>
  <c r="DI169" i="1"/>
  <c r="DI168" i="1" s="1"/>
  <c r="DH169" i="1"/>
  <c r="DF169" i="1" s="1"/>
  <c r="DF168" i="1" s="1"/>
  <c r="CZ169" i="1"/>
  <c r="CZ168" i="1" s="1"/>
  <c r="CW169" i="1"/>
  <c r="CW168" i="1" s="1"/>
  <c r="CB169" i="1"/>
  <c r="CB168" i="1" s="1"/>
  <c r="HV168" i="1"/>
  <c r="HS168" i="1" s="1"/>
  <c r="HJ168" i="1"/>
  <c r="HG168" i="1" s="1"/>
  <c r="FR168" i="1"/>
  <c r="FO168" i="1" s="1"/>
  <c r="FL168" i="1"/>
  <c r="FJ168" i="1"/>
  <c r="FH168" i="1"/>
  <c r="EY168" i="1"/>
  <c r="FF168" i="1" s="1"/>
  <c r="FC168" i="1" s="1"/>
  <c r="EX168" i="1"/>
  <c r="EP168" i="1"/>
  <c r="EN168" i="1"/>
  <c r="EL168" i="1"/>
  <c r="EJ168" i="1"/>
  <c r="EG168" i="1" s="1"/>
  <c r="DZ168" i="1"/>
  <c r="DY168" i="1"/>
  <c r="DS168" i="1"/>
  <c r="DQ168" i="1"/>
  <c r="DP168" i="1"/>
  <c r="DN168" i="1"/>
  <c r="DM168" i="1"/>
  <c r="DK168" i="1"/>
  <c r="DJ168" i="1"/>
  <c r="DG168" i="1"/>
  <c r="DB168" i="1"/>
  <c r="DA168" i="1"/>
  <c r="CY168" i="1"/>
  <c r="CX168" i="1"/>
  <c r="CV168" i="1"/>
  <c r="CU168" i="1"/>
  <c r="CT168" i="1"/>
  <c r="CS168" i="1"/>
  <c r="CR168" i="1"/>
  <c r="CQ168" i="1"/>
  <c r="CP168" i="1"/>
  <c r="CO168" i="1"/>
  <c r="CN168" i="1"/>
  <c r="CM168" i="1"/>
  <c r="CL168" i="1"/>
  <c r="CK168" i="1"/>
  <c r="CJ168" i="1"/>
  <c r="CI168" i="1"/>
  <c r="CH168" i="1"/>
  <c r="CG168" i="1"/>
  <c r="CF168" i="1"/>
  <c r="CE168" i="1"/>
  <c r="CD168" i="1"/>
  <c r="CC168" i="1"/>
  <c r="HS167" i="1"/>
  <c r="HZ167" i="1" s="1"/>
  <c r="HW167" i="1" s="1"/>
  <c r="ID167" i="1" s="1"/>
  <c r="IA167" i="1" s="1"/>
  <c r="HO167" i="1"/>
  <c r="HJ167" i="1"/>
  <c r="GU167" i="1"/>
  <c r="FO167" i="1"/>
  <c r="FK167" i="1"/>
  <c r="FK166" i="1" s="1"/>
  <c r="FJ167" i="1"/>
  <c r="FJ166" i="1" s="1"/>
  <c r="FC167" i="1"/>
  <c r="EW167" i="1"/>
  <c r="EW166" i="1" s="1"/>
  <c r="EV167" i="1"/>
  <c r="EV166" i="1" s="1"/>
  <c r="ES166" i="1" s="1"/>
  <c r="ET167" i="1"/>
  <c r="EO167" i="1"/>
  <c r="EO166" i="1" s="1"/>
  <c r="EK167" i="1"/>
  <c r="EK166" i="1" s="1"/>
  <c r="EJ167" i="1"/>
  <c r="EG167" i="1" s="1"/>
  <c r="DX167" i="1"/>
  <c r="DX166" i="1" s="1"/>
  <c r="DW167" i="1"/>
  <c r="DW166" i="1" s="1"/>
  <c r="DU167" i="1"/>
  <c r="DU166" i="1" s="1"/>
  <c r="DO167" i="1"/>
  <c r="DO166" i="1" s="1"/>
  <c r="DL167" i="1"/>
  <c r="DL166" i="1" s="1"/>
  <c r="DK167" i="1"/>
  <c r="DT167" i="1" s="1"/>
  <c r="DT166" i="1" s="1"/>
  <c r="DF167" i="1"/>
  <c r="DF166" i="1" s="1"/>
  <c r="DC167" i="1"/>
  <c r="DC166" i="1" s="1"/>
  <c r="CZ167" i="1"/>
  <c r="CZ166" i="1" s="1"/>
  <c r="CW167" i="1"/>
  <c r="CW166" i="1" s="1"/>
  <c r="CV167" i="1"/>
  <c r="CT167" i="1" s="1"/>
  <c r="CT166" i="1" s="1"/>
  <c r="CB167" i="1"/>
  <c r="CB166" i="1" s="1"/>
  <c r="HV166" i="1"/>
  <c r="HS166" i="1" s="1"/>
  <c r="HZ166" i="1" s="1"/>
  <c r="HW166" i="1" s="1"/>
  <c r="ID166" i="1" s="1"/>
  <c r="IA166" i="1" s="1"/>
  <c r="GX166" i="1"/>
  <c r="GU166" i="1" s="1"/>
  <c r="FN166" i="1"/>
  <c r="FL166" i="1"/>
  <c r="FH166" i="1"/>
  <c r="EY166" i="1"/>
  <c r="FC166" i="1" s="1"/>
  <c r="EX166" i="1"/>
  <c r="ER166" i="1"/>
  <c r="EP166" i="1"/>
  <c r="EN166" i="1"/>
  <c r="EL166" i="1"/>
  <c r="DZ166" i="1"/>
  <c r="DY166" i="1"/>
  <c r="EJ166" i="1" s="1"/>
  <c r="EG166" i="1" s="1"/>
  <c r="DV166" i="1"/>
  <c r="DS166" i="1"/>
  <c r="DQ166" i="1"/>
  <c r="DP166" i="1"/>
  <c r="DN166" i="1"/>
  <c r="DM166" i="1"/>
  <c r="DJ166" i="1"/>
  <c r="DH166" i="1"/>
  <c r="DG166" i="1"/>
  <c r="DE166" i="1"/>
  <c r="DE137" i="1" s="1"/>
  <c r="DE211" i="1" s="1"/>
  <c r="DD166" i="1"/>
  <c r="DB166" i="1"/>
  <c r="DA166" i="1"/>
  <c r="CY166" i="1"/>
  <c r="CX166" i="1"/>
  <c r="CU166" i="1"/>
  <c r="CS166" i="1"/>
  <c r="CR166" i="1"/>
  <c r="CQ166" i="1"/>
  <c r="CP166" i="1"/>
  <c r="CO166" i="1"/>
  <c r="CN166" i="1"/>
  <c r="CM166" i="1"/>
  <c r="CL166" i="1"/>
  <c r="CK166" i="1"/>
  <c r="CJ166" i="1"/>
  <c r="CI166" i="1"/>
  <c r="CH166" i="1"/>
  <c r="CG166" i="1"/>
  <c r="CF166" i="1"/>
  <c r="CE166" i="1"/>
  <c r="CD166" i="1"/>
  <c r="CC166" i="1"/>
  <c r="IA165" i="1"/>
  <c r="HW165" i="1"/>
  <c r="HS165" i="1"/>
  <c r="HO165" i="1"/>
  <c r="HK165" i="1"/>
  <c r="HG165" i="1"/>
  <c r="GU165" i="1"/>
  <c r="FR165" i="1"/>
  <c r="FN165" i="1" s="1"/>
  <c r="FK165" i="1" s="1"/>
  <c r="FC165" i="1"/>
  <c r="EW165" i="1"/>
  <c r="EG165" i="1"/>
  <c r="IA164" i="1"/>
  <c r="HW164" i="1"/>
  <c r="HS164" i="1"/>
  <c r="HO164" i="1"/>
  <c r="HK164" i="1"/>
  <c r="HG164" i="1"/>
  <c r="GU164" i="1"/>
  <c r="FR164" i="1"/>
  <c r="FO164" i="1" s="1"/>
  <c r="FG164" i="1"/>
  <c r="FC164" i="1"/>
  <c r="EW164" i="1"/>
  <c r="ET164" i="1"/>
  <c r="ES164" i="1" s="1"/>
  <c r="ER164" i="1"/>
  <c r="EO164" i="1" s="1"/>
  <c r="EK164" i="1"/>
  <c r="EG164" i="1"/>
  <c r="DX164" i="1"/>
  <c r="DU164" i="1"/>
  <c r="DR164" i="1"/>
  <c r="DO164" i="1"/>
  <c r="DL164" i="1"/>
  <c r="DI164" i="1"/>
  <c r="DF164" i="1"/>
  <c r="CZ164" i="1"/>
  <c r="CW164" i="1"/>
  <c r="CV164" i="1"/>
  <c r="CB164" i="1"/>
  <c r="IA163" i="1"/>
  <c r="HW163" i="1"/>
  <c r="HS163" i="1"/>
  <c r="HJ163" i="1"/>
  <c r="HG163" i="1" s="1"/>
  <c r="HR163" i="1" s="1"/>
  <c r="HR162" i="1" s="1"/>
  <c r="HO162" i="1" s="1"/>
  <c r="GU163" i="1"/>
  <c r="FR163" i="1"/>
  <c r="FG163" i="1"/>
  <c r="FC163" i="1"/>
  <c r="EW163" i="1"/>
  <c r="ET163" i="1"/>
  <c r="ES163" i="1" s="1"/>
  <c r="ER163" i="1"/>
  <c r="EO163" i="1" s="1"/>
  <c r="EK163" i="1"/>
  <c r="EG163" i="1"/>
  <c r="DX163" i="1"/>
  <c r="DU163" i="1"/>
  <c r="DO163" i="1"/>
  <c r="DL163" i="1"/>
  <c r="DK163" i="1"/>
  <c r="DK162" i="1" s="1"/>
  <c r="DK158" i="1" s="1"/>
  <c r="DF163" i="1"/>
  <c r="CZ163" i="1"/>
  <c r="CW163" i="1"/>
  <c r="CB163" i="1"/>
  <c r="ID162" i="1"/>
  <c r="IA162" i="1" s="1"/>
  <c r="HZ162" i="1"/>
  <c r="HW162" i="1" s="1"/>
  <c r="HV162" i="1"/>
  <c r="HS162" i="1" s="1"/>
  <c r="HN162" i="1"/>
  <c r="HK162" i="1" s="1"/>
  <c r="HJ162" i="1"/>
  <c r="HG162" i="1" s="1"/>
  <c r="GX162" i="1"/>
  <c r="GU162" i="1" s="1"/>
  <c r="FJ162" i="1"/>
  <c r="FJ158" i="1" s="1"/>
  <c r="FH162" i="1"/>
  <c r="FH158" i="1" s="1"/>
  <c r="FF162" i="1"/>
  <c r="EY162" i="1"/>
  <c r="EY158" i="1" s="1"/>
  <c r="EX162" i="1"/>
  <c r="EX158" i="1" s="1"/>
  <c r="EV162" i="1"/>
  <c r="EP162" i="1"/>
  <c r="EP158" i="1" s="1"/>
  <c r="EN162" i="1"/>
  <c r="EN158" i="1" s="1"/>
  <c r="EL162" i="1"/>
  <c r="EL158" i="1" s="1"/>
  <c r="EJ162" i="1"/>
  <c r="EG162" i="1" s="1"/>
  <c r="DZ162" i="1"/>
  <c r="DZ158" i="1" s="1"/>
  <c r="DY162" i="1"/>
  <c r="DY158" i="1" s="1"/>
  <c r="DW162" i="1"/>
  <c r="DW158" i="1" s="1"/>
  <c r="DV162" i="1"/>
  <c r="DS162" i="1"/>
  <c r="DS158" i="1" s="1"/>
  <c r="DQ162" i="1"/>
  <c r="DQ158" i="1" s="1"/>
  <c r="DP162" i="1"/>
  <c r="DP158" i="1" s="1"/>
  <c r="DN162" i="1"/>
  <c r="DN158" i="1" s="1"/>
  <c r="DM162" i="1"/>
  <c r="DJ162" i="1"/>
  <c r="DH162" i="1"/>
  <c r="DG162" i="1"/>
  <c r="DG158" i="1" s="1"/>
  <c r="DB162" i="1"/>
  <c r="DB158" i="1" s="1"/>
  <c r="DA162" i="1"/>
  <c r="DA158" i="1" s="1"/>
  <c r="CY162" i="1"/>
  <c r="CY158" i="1" s="1"/>
  <c r="CX162" i="1"/>
  <c r="CX158" i="1" s="1"/>
  <c r="CU162" i="1"/>
  <c r="CU158" i="1" s="1"/>
  <c r="CS162" i="1"/>
  <c r="CS158" i="1" s="1"/>
  <c r="CR162" i="1"/>
  <c r="CR158" i="1" s="1"/>
  <c r="CQ162" i="1"/>
  <c r="CQ158" i="1" s="1"/>
  <c r="CP162" i="1"/>
  <c r="CP158" i="1" s="1"/>
  <c r="CO162" i="1"/>
  <c r="CO158" i="1" s="1"/>
  <c r="CN162" i="1"/>
  <c r="CN158" i="1" s="1"/>
  <c r="CM162" i="1"/>
  <c r="CM158" i="1" s="1"/>
  <c r="CL162" i="1"/>
  <c r="CL158" i="1" s="1"/>
  <c r="CK162" i="1"/>
  <c r="CK158" i="1" s="1"/>
  <c r="CJ162" i="1"/>
  <c r="CJ158" i="1" s="1"/>
  <c r="CI162" i="1"/>
  <c r="CI158" i="1" s="1"/>
  <c r="CH162" i="1"/>
  <c r="CH158" i="1" s="1"/>
  <c r="CG162" i="1"/>
  <c r="CG158" i="1" s="1"/>
  <c r="CF162" i="1"/>
  <c r="CF158" i="1" s="1"/>
  <c r="CE162" i="1"/>
  <c r="CE158" i="1" s="1"/>
  <c r="CD162" i="1"/>
  <c r="CD158" i="1" s="1"/>
  <c r="CC162" i="1"/>
  <c r="CC158" i="1" s="1"/>
  <c r="HK161" i="1"/>
  <c r="GU161" i="1"/>
  <c r="FR161" i="1"/>
  <c r="FO161" i="1" s="1"/>
  <c r="ER161" i="1"/>
  <c r="EG161" i="1"/>
  <c r="HK160" i="1"/>
  <c r="GU160" i="1"/>
  <c r="FR160" i="1"/>
  <c r="FO160" i="1" s="1"/>
  <c r="ER160" i="1"/>
  <c r="EG160" i="1"/>
  <c r="IA159" i="1"/>
  <c r="HW159" i="1"/>
  <c r="HS159" i="1"/>
  <c r="HO159" i="1"/>
  <c r="HK159" i="1"/>
  <c r="GU159" i="1"/>
  <c r="FR159" i="1"/>
  <c r="FN159" i="1" s="1"/>
  <c r="FN158" i="1" s="1"/>
  <c r="FC159" i="1"/>
  <c r="ES159" i="1"/>
  <c r="ER159" i="1"/>
  <c r="ER158" i="1" s="1"/>
  <c r="EG159" i="1"/>
  <c r="ID158" i="1"/>
  <c r="IA158" i="1" s="1"/>
  <c r="HV158" i="1"/>
  <c r="HS158" i="1" s="1"/>
  <c r="HR158" i="1"/>
  <c r="HO158" i="1" s="1"/>
  <c r="GX158" i="1"/>
  <c r="GU158" i="1" s="1"/>
  <c r="FL158" i="1"/>
  <c r="FF158" i="1"/>
  <c r="EV158" i="1"/>
  <c r="EJ158" i="1"/>
  <c r="EG158" i="1" s="1"/>
  <c r="IA157" i="1"/>
  <c r="HW157" i="1"/>
  <c r="HS157" i="1"/>
  <c r="HO157" i="1"/>
  <c r="HN157" i="1"/>
  <c r="HK157" i="1" s="1"/>
  <c r="GU157" i="1"/>
  <c r="FR157" i="1"/>
  <c r="FO157" i="1" s="1"/>
  <c r="FC157" i="1"/>
  <c r="EG157" i="1"/>
  <c r="IA156" i="1"/>
  <c r="HS156" i="1"/>
  <c r="HO156" i="1"/>
  <c r="HN156" i="1"/>
  <c r="HJ156" i="1"/>
  <c r="HG156" i="1" s="1"/>
  <c r="GU156" i="1"/>
  <c r="FG156" i="1"/>
  <c r="EY156" i="1"/>
  <c r="EW156" i="1" s="1"/>
  <c r="EV156" i="1"/>
  <c r="ET156" i="1"/>
  <c r="EK156" i="1"/>
  <c r="DZ156" i="1"/>
  <c r="DZ152" i="1" s="1"/>
  <c r="DU156" i="1"/>
  <c r="DR156" i="1"/>
  <c r="DO156" i="1"/>
  <c r="DL156" i="1"/>
  <c r="DI156" i="1"/>
  <c r="DF156" i="1"/>
  <c r="CZ156" i="1"/>
  <c r="CW156" i="1"/>
  <c r="CB156" i="1"/>
  <c r="FO155" i="1"/>
  <c r="FJ155" i="1"/>
  <c r="FG155" i="1" s="1"/>
  <c r="FC155" i="1"/>
  <c r="HJ154" i="1"/>
  <c r="HG154" i="1" s="1"/>
  <c r="HN154" i="1" s="1"/>
  <c r="HK154" i="1" s="1"/>
  <c r="GU154" i="1"/>
  <c r="FO154" i="1"/>
  <c r="FN154" i="1"/>
  <c r="FK154" i="1" s="1"/>
  <c r="FG154" i="1"/>
  <c r="FC154" i="1"/>
  <c r="EW154" i="1"/>
  <c r="EV154" i="1"/>
  <c r="ET154" i="1"/>
  <c r="ET152" i="1" s="1"/>
  <c r="EK154" i="1"/>
  <c r="EG154" i="1"/>
  <c r="DX154" i="1"/>
  <c r="DU154" i="1"/>
  <c r="DO154" i="1"/>
  <c r="DK154" i="1"/>
  <c r="DI154" i="1" s="1"/>
  <c r="DF154" i="1"/>
  <c r="CZ154" i="1"/>
  <c r="CW154" i="1"/>
  <c r="CB154" i="1"/>
  <c r="HJ153" i="1"/>
  <c r="GU153" i="1"/>
  <c r="FO153" i="1"/>
  <c r="FN153" i="1"/>
  <c r="FK153" i="1" s="1"/>
  <c r="FJ153" i="1"/>
  <c r="FG153" i="1" s="1"/>
  <c r="FC153" i="1"/>
  <c r="EW153" i="1"/>
  <c r="EV153" i="1"/>
  <c r="ES153" i="1" s="1"/>
  <c r="EK153" i="1"/>
  <c r="EG153" i="1"/>
  <c r="DX153" i="1"/>
  <c r="DU153" i="1"/>
  <c r="DO153" i="1"/>
  <c r="DK153" i="1"/>
  <c r="DN153" i="1" s="1"/>
  <c r="DL153" i="1" s="1"/>
  <c r="DF153" i="1"/>
  <c r="CZ153" i="1"/>
  <c r="CW153" i="1"/>
  <c r="CB153" i="1"/>
  <c r="GX152" i="1"/>
  <c r="GU152" i="1" s="1"/>
  <c r="FL152" i="1"/>
  <c r="FH152" i="1"/>
  <c r="EX152" i="1"/>
  <c r="EP152" i="1"/>
  <c r="EN152" i="1"/>
  <c r="EL152" i="1"/>
  <c r="DY152" i="1"/>
  <c r="DW152" i="1"/>
  <c r="DV152" i="1"/>
  <c r="DS152" i="1"/>
  <c r="DQ152" i="1"/>
  <c r="DP152" i="1"/>
  <c r="DM152" i="1"/>
  <c r="DJ152" i="1"/>
  <c r="DH152" i="1"/>
  <c r="DG152" i="1"/>
  <c r="DB152" i="1"/>
  <c r="DA152" i="1"/>
  <c r="CY152" i="1"/>
  <c r="CX152" i="1"/>
  <c r="CS152" i="1"/>
  <c r="CR152" i="1"/>
  <c r="CQ152" i="1"/>
  <c r="CP152" i="1"/>
  <c r="CO152" i="1"/>
  <c r="CN152" i="1"/>
  <c r="CM152" i="1"/>
  <c r="CL152" i="1"/>
  <c r="CK152" i="1"/>
  <c r="CJ152" i="1"/>
  <c r="CI152" i="1"/>
  <c r="CH152" i="1"/>
  <c r="CG152" i="1"/>
  <c r="CF152" i="1"/>
  <c r="CE152" i="1"/>
  <c r="CD152" i="1"/>
  <c r="CC152" i="1"/>
  <c r="IA151" i="1"/>
  <c r="HZ151" i="1"/>
  <c r="HZ150" i="1" s="1"/>
  <c r="HW150" i="1" s="1"/>
  <c r="HS151" i="1"/>
  <c r="HO151" i="1"/>
  <c r="HN151" i="1"/>
  <c r="HK151" i="1" s="1"/>
  <c r="HJ151" i="1"/>
  <c r="HG151" i="1" s="1"/>
  <c r="GU151" i="1"/>
  <c r="FO151" i="1"/>
  <c r="FN151" i="1"/>
  <c r="FK151" i="1" s="1"/>
  <c r="FG151" i="1"/>
  <c r="FC151" i="1"/>
  <c r="EW151" i="1"/>
  <c r="EV151" i="1"/>
  <c r="ER151" i="1" s="1"/>
  <c r="ER150" i="1" s="1"/>
  <c r="ET151" i="1"/>
  <c r="EK151" i="1"/>
  <c r="EG151" i="1"/>
  <c r="DX151" i="1"/>
  <c r="DU151" i="1"/>
  <c r="DR151" i="1"/>
  <c r="DO151" i="1"/>
  <c r="DL151" i="1"/>
  <c r="DI151" i="1"/>
  <c r="DF151" i="1"/>
  <c r="CZ151" i="1"/>
  <c r="CW151" i="1"/>
  <c r="CB151" i="1"/>
  <c r="ID150" i="1"/>
  <c r="IA150" i="1" s="1"/>
  <c r="HV150" i="1"/>
  <c r="HS150" i="1" s="1"/>
  <c r="HR150" i="1"/>
  <c r="HO150" i="1" s="1"/>
  <c r="HJ150" i="1"/>
  <c r="HG150" i="1" s="1"/>
  <c r="GX150" i="1"/>
  <c r="GU150" i="1" s="1"/>
  <c r="FR150" i="1"/>
  <c r="FO150" i="1" s="1"/>
  <c r="FL150" i="1"/>
  <c r="FJ150" i="1"/>
  <c r="FH150" i="1"/>
  <c r="FF150" i="1"/>
  <c r="FC150" i="1" s="1"/>
  <c r="EY150" i="1"/>
  <c r="EX150" i="1"/>
  <c r="EP150" i="1"/>
  <c r="EN150" i="1"/>
  <c r="EL150" i="1"/>
  <c r="EJ150" i="1"/>
  <c r="EG150" i="1" s="1"/>
  <c r="DZ150" i="1"/>
  <c r="DY150" i="1"/>
  <c r="DW150" i="1"/>
  <c r="DV150" i="1"/>
  <c r="DT150" i="1"/>
  <c r="DS150" i="1"/>
  <c r="DQ150" i="1"/>
  <c r="DP150" i="1"/>
  <c r="DN150" i="1"/>
  <c r="DM150" i="1"/>
  <c r="DK150" i="1"/>
  <c r="DJ150" i="1"/>
  <c r="DH150" i="1"/>
  <c r="DG150" i="1"/>
  <c r="DB150" i="1"/>
  <c r="DA150" i="1"/>
  <c r="CY150" i="1"/>
  <c r="CX150" i="1"/>
  <c r="CV150" i="1"/>
  <c r="CU150" i="1"/>
  <c r="CT150" i="1"/>
  <c r="CS150" i="1"/>
  <c r="CR150" i="1"/>
  <c r="CQ150" i="1"/>
  <c r="CP150" i="1"/>
  <c r="CO150" i="1"/>
  <c r="CN150" i="1"/>
  <c r="CM150" i="1"/>
  <c r="CL150" i="1"/>
  <c r="CK150" i="1"/>
  <c r="CJ150" i="1"/>
  <c r="CI150" i="1"/>
  <c r="CH150" i="1"/>
  <c r="CG150" i="1"/>
  <c r="CF150" i="1"/>
  <c r="CE150" i="1"/>
  <c r="CD150" i="1"/>
  <c r="CC150" i="1"/>
  <c r="IA149" i="1"/>
  <c r="HW149" i="1"/>
  <c r="HS149" i="1"/>
  <c r="HR149" i="1"/>
  <c r="HO149" i="1" s="1"/>
  <c r="HK149" i="1"/>
  <c r="GU149" i="1"/>
  <c r="FR149" i="1"/>
  <c r="FO149" i="1" s="1"/>
  <c r="FC149" i="1"/>
  <c r="EG149" i="1"/>
  <c r="IA148" i="1"/>
  <c r="HW148" i="1"/>
  <c r="HS148" i="1"/>
  <c r="HO148" i="1"/>
  <c r="HK148" i="1"/>
  <c r="GU148" i="1"/>
  <c r="FO148" i="1"/>
  <c r="FJ148" i="1"/>
  <c r="FG148" i="1" s="1"/>
  <c r="FC148" i="1"/>
  <c r="EV148" i="1"/>
  <c r="ES148" i="1" s="1"/>
  <c r="EG148" i="1"/>
  <c r="IA147" i="1"/>
  <c r="HS147" i="1"/>
  <c r="HO147" i="1"/>
  <c r="HN147" i="1"/>
  <c r="HK147" i="1" s="1"/>
  <c r="HJ147" i="1"/>
  <c r="HG147" i="1" s="1"/>
  <c r="GU147" i="1"/>
  <c r="FO147" i="1"/>
  <c r="FK147" i="1"/>
  <c r="FJ147" i="1"/>
  <c r="FG147" i="1" s="1"/>
  <c r="FC147" i="1"/>
  <c r="EV147" i="1"/>
  <c r="ES147" i="1" s="1"/>
  <c r="EO147" i="1"/>
  <c r="EK147" i="1"/>
  <c r="EG147" i="1"/>
  <c r="IA146" i="1"/>
  <c r="HS146" i="1"/>
  <c r="HR146" i="1"/>
  <c r="HO146" i="1" s="1"/>
  <c r="HN146" i="1"/>
  <c r="HZ146" i="1" s="1"/>
  <c r="HW146" i="1" s="1"/>
  <c r="GU146" i="1"/>
  <c r="FO146" i="1"/>
  <c r="FK146" i="1"/>
  <c r="FJ146" i="1"/>
  <c r="FG146" i="1" s="1"/>
  <c r="FC146" i="1"/>
  <c r="EW146" i="1"/>
  <c r="EV146" i="1"/>
  <c r="ET146" i="1"/>
  <c r="ET142" i="1" s="1"/>
  <c r="EO146" i="1"/>
  <c r="EK146" i="1"/>
  <c r="EG146" i="1"/>
  <c r="DX146" i="1"/>
  <c r="DU146" i="1"/>
  <c r="DR146" i="1"/>
  <c r="DO146" i="1"/>
  <c r="DL146" i="1"/>
  <c r="DI146" i="1"/>
  <c r="DF146" i="1"/>
  <c r="CZ146" i="1"/>
  <c r="CW146" i="1"/>
  <c r="CB146" i="1"/>
  <c r="HS145" i="1"/>
  <c r="HZ145" i="1" s="1"/>
  <c r="HW145" i="1" s="1"/>
  <c r="ID145" i="1" s="1"/>
  <c r="IA145" i="1" s="1"/>
  <c r="HR145" i="1"/>
  <c r="HO145" i="1" s="1"/>
  <c r="HK145" i="1"/>
  <c r="GU145" i="1"/>
  <c r="FO145" i="1"/>
  <c r="FJ145" i="1"/>
  <c r="FG145" i="1" s="1"/>
  <c r="FC145" i="1"/>
  <c r="ES145" i="1"/>
  <c r="EG145" i="1"/>
  <c r="HJ144" i="1"/>
  <c r="HG144" i="1" s="1"/>
  <c r="HR144" i="1" s="1"/>
  <c r="HO144" i="1" s="1"/>
  <c r="HV144" i="1" s="1"/>
  <c r="HS144" i="1" s="1"/>
  <c r="HZ144" i="1" s="1"/>
  <c r="HW144" i="1" s="1"/>
  <c r="ID144" i="1" s="1"/>
  <c r="IA144" i="1" s="1"/>
  <c r="GU144" i="1"/>
  <c r="FR144" i="1"/>
  <c r="FO144" i="1" s="1"/>
  <c r="FG144" i="1"/>
  <c r="FC144" i="1"/>
  <c r="EW144" i="1"/>
  <c r="ES144" i="1"/>
  <c r="ER144" i="1"/>
  <c r="EO144" i="1" s="1"/>
  <c r="EK144" i="1"/>
  <c r="EG144" i="1"/>
  <c r="EF144" i="1"/>
  <c r="ED144" i="1" s="1"/>
  <c r="DX144" i="1"/>
  <c r="DU144" i="1"/>
  <c r="DO144" i="1"/>
  <c r="DL144" i="1"/>
  <c r="DK144" i="1"/>
  <c r="DI144" i="1" s="1"/>
  <c r="CZ144" i="1"/>
  <c r="CW144" i="1"/>
  <c r="CB144" i="1"/>
  <c r="HJ143" i="1"/>
  <c r="GU143" i="1"/>
  <c r="FR143" i="1"/>
  <c r="FO143" i="1" s="1"/>
  <c r="FK143" i="1"/>
  <c r="FG143" i="1"/>
  <c r="FC143" i="1"/>
  <c r="EW143" i="1"/>
  <c r="EO143" i="1"/>
  <c r="EK143" i="1"/>
  <c r="EG143" i="1"/>
  <c r="EF143" i="1"/>
  <c r="DX143" i="1"/>
  <c r="DU143" i="1"/>
  <c r="DT143" i="1"/>
  <c r="DR143" i="1" s="1"/>
  <c r="DO143" i="1"/>
  <c r="DL143" i="1"/>
  <c r="DI143" i="1"/>
  <c r="DH143" i="1"/>
  <c r="DF143" i="1" s="1"/>
  <c r="CZ143" i="1"/>
  <c r="CW143" i="1"/>
  <c r="CB143" i="1"/>
  <c r="GX142" i="1"/>
  <c r="GU142" i="1" s="1"/>
  <c r="FP142" i="1"/>
  <c r="FL142" i="1"/>
  <c r="FH142" i="1"/>
  <c r="EY142" i="1"/>
  <c r="EX142" i="1"/>
  <c r="EP142" i="1"/>
  <c r="EN142" i="1"/>
  <c r="EL142" i="1"/>
  <c r="EJ142" i="1"/>
  <c r="EH142" i="1"/>
  <c r="EE142" i="1"/>
  <c r="DZ142" i="1"/>
  <c r="DY142" i="1"/>
  <c r="DW142" i="1"/>
  <c r="DV142" i="1"/>
  <c r="DS142" i="1"/>
  <c r="DQ142" i="1"/>
  <c r="DP142" i="1"/>
  <c r="DN142" i="1"/>
  <c r="DM142" i="1"/>
  <c r="DJ142" i="1"/>
  <c r="DG142" i="1"/>
  <c r="DB142" i="1"/>
  <c r="DA142" i="1"/>
  <c r="CY142" i="1"/>
  <c r="CX142" i="1"/>
  <c r="CV142" i="1"/>
  <c r="CU142" i="1"/>
  <c r="CT142" i="1"/>
  <c r="CS142" i="1"/>
  <c r="CR142" i="1"/>
  <c r="CQ142" i="1"/>
  <c r="CP142" i="1"/>
  <c r="CO142" i="1"/>
  <c r="CN142" i="1"/>
  <c r="CM142" i="1"/>
  <c r="CL142" i="1"/>
  <c r="CK142" i="1"/>
  <c r="CJ142" i="1"/>
  <c r="CI142" i="1"/>
  <c r="CH142" i="1"/>
  <c r="CG142" i="1"/>
  <c r="CF142" i="1"/>
  <c r="CE142" i="1"/>
  <c r="CD142" i="1"/>
  <c r="CC142" i="1"/>
  <c r="IA141" i="1"/>
  <c r="HS141" i="1"/>
  <c r="HR141" i="1"/>
  <c r="HN141" i="1"/>
  <c r="HZ141" i="1" s="1"/>
  <c r="GU141" i="1"/>
  <c r="FO141" i="1"/>
  <c r="ES141" i="1"/>
  <c r="EG141" i="1"/>
  <c r="IA140" i="1"/>
  <c r="HW140" i="1"/>
  <c r="HS140" i="1"/>
  <c r="HO140" i="1"/>
  <c r="HK140" i="1"/>
  <c r="HG140" i="1"/>
  <c r="GU140" i="1"/>
  <c r="FO140" i="1"/>
  <c r="FK140" i="1"/>
  <c r="FG140" i="1"/>
  <c r="FC140" i="1"/>
  <c r="EW140" i="1"/>
  <c r="EV140" i="1"/>
  <c r="EV138" i="1" s="1"/>
  <c r="ET140" i="1"/>
  <c r="EO140" i="1"/>
  <c r="EK140" i="1"/>
  <c r="EG140" i="1"/>
  <c r="DX140" i="1"/>
  <c r="DU140" i="1"/>
  <c r="DR140" i="1"/>
  <c r="DO140" i="1"/>
  <c r="DL140" i="1"/>
  <c r="DI140" i="1"/>
  <c r="DF140" i="1"/>
  <c r="CZ140" i="1"/>
  <c r="CW140" i="1"/>
  <c r="CB140" i="1"/>
  <c r="HJ139" i="1"/>
  <c r="HG139" i="1" s="1"/>
  <c r="HR139" i="1" s="1"/>
  <c r="GU139" i="1"/>
  <c r="FO139" i="1"/>
  <c r="FK139" i="1"/>
  <c r="FC139" i="1"/>
  <c r="EW139" i="1"/>
  <c r="EV139" i="1"/>
  <c r="ET139" i="1"/>
  <c r="EO139" i="1"/>
  <c r="EK139" i="1"/>
  <c r="EJ139" i="1"/>
  <c r="EG139" i="1" s="1"/>
  <c r="DX139" i="1"/>
  <c r="DU139" i="1"/>
  <c r="DO139" i="1"/>
  <c r="DL139" i="1"/>
  <c r="DK139" i="1"/>
  <c r="DT139" i="1" s="1"/>
  <c r="DT138" i="1" s="1"/>
  <c r="CZ139" i="1"/>
  <c r="CW139" i="1"/>
  <c r="CD139" i="1"/>
  <c r="CB139" i="1" s="1"/>
  <c r="HW138" i="1"/>
  <c r="HK138" i="1"/>
  <c r="GX138" i="1"/>
  <c r="GU138" i="1" s="1"/>
  <c r="FR138" i="1"/>
  <c r="FN138" i="1"/>
  <c r="FL138" i="1"/>
  <c r="FH138" i="1"/>
  <c r="EY138" i="1"/>
  <c r="EX138" i="1"/>
  <c r="ER138" i="1"/>
  <c r="EP138" i="1"/>
  <c r="EN138" i="1"/>
  <c r="EL138" i="1"/>
  <c r="EJ138" i="1"/>
  <c r="EG138" i="1" s="1"/>
  <c r="DZ138" i="1"/>
  <c r="DY138" i="1"/>
  <c r="DW138" i="1"/>
  <c r="DV138" i="1"/>
  <c r="DS138" i="1"/>
  <c r="DQ138" i="1"/>
  <c r="DP138" i="1"/>
  <c r="DN138" i="1"/>
  <c r="DM138" i="1"/>
  <c r="DJ138" i="1"/>
  <c r="DG138" i="1"/>
  <c r="DB138" i="1"/>
  <c r="DA138" i="1"/>
  <c r="CY138" i="1"/>
  <c r="CX138" i="1"/>
  <c r="CV138" i="1"/>
  <c r="CU138" i="1"/>
  <c r="CT138" i="1"/>
  <c r="CS138" i="1"/>
  <c r="CR138" i="1"/>
  <c r="CQ138" i="1"/>
  <c r="CP138" i="1"/>
  <c r="CO138" i="1"/>
  <c r="CN138" i="1"/>
  <c r="CM138" i="1"/>
  <c r="CL138" i="1"/>
  <c r="CK138" i="1"/>
  <c r="CJ138" i="1"/>
  <c r="CI138" i="1"/>
  <c r="CH138" i="1"/>
  <c r="CG138" i="1"/>
  <c r="CF138" i="1"/>
  <c r="CE138" i="1"/>
  <c r="CC138" i="1"/>
  <c r="FB137" i="1"/>
  <c r="FB211" i="1" s="1"/>
  <c r="BV137" i="1"/>
  <c r="BV211" i="1" s="1"/>
  <c r="BU137" i="1"/>
  <c r="BU211" i="1" s="1"/>
  <c r="BH137" i="1"/>
  <c r="BH211" i="1" s="1"/>
  <c r="BB137" i="1"/>
  <c r="BA137" i="1"/>
  <c r="AV137" i="1"/>
  <c r="AV211" i="1" s="1"/>
  <c r="AS137" i="1"/>
  <c r="AS211" i="1" s="1"/>
  <c r="AH137" i="1"/>
  <c r="AF137" i="1" s="1"/>
  <c r="AR137" i="1" s="1"/>
  <c r="AR211" i="1" s="1"/>
  <c r="AC137" i="1"/>
  <c r="AC211" i="1" s="1"/>
  <c r="Z137" i="1"/>
  <c r="Y137" i="1"/>
  <c r="T137" i="1"/>
  <c r="S137" i="1"/>
  <c r="Q137" i="1" s="1"/>
  <c r="K137" i="1"/>
  <c r="J137" i="1"/>
  <c r="E137" i="1"/>
  <c r="IB136" i="1"/>
  <c r="HS136" i="1"/>
  <c r="HO136" i="1"/>
  <c r="HL136" i="1"/>
  <c r="HH136" i="1"/>
  <c r="HG136" i="1" s="1"/>
  <c r="GU136" i="1"/>
  <c r="FP136" i="1"/>
  <c r="FK136" i="1"/>
  <c r="FC136" i="1"/>
  <c r="EW136" i="1"/>
  <c r="ES136" i="1"/>
  <c r="EO136" i="1"/>
  <c r="EK136" i="1"/>
  <c r="EG136" i="1"/>
  <c r="DX136" i="1"/>
  <c r="DU136" i="1"/>
  <c r="DO136" i="1"/>
  <c r="DM136" i="1"/>
  <c r="DL136" i="1" s="1"/>
  <c r="DJ136" i="1"/>
  <c r="DG136" i="1" s="1"/>
  <c r="DF136" i="1" s="1"/>
  <c r="CZ136" i="1"/>
  <c r="CW136" i="1"/>
  <c r="CT136" i="1"/>
  <c r="CQ136" i="1"/>
  <c r="CM136" i="1"/>
  <c r="CM105" i="1" s="1"/>
  <c r="CL136" i="1"/>
  <c r="CH136" i="1"/>
  <c r="CB136" i="1"/>
  <c r="CF136" i="1" s="1"/>
  <c r="CA136" i="1"/>
  <c r="BZ136" i="1"/>
  <c r="BV136" i="1"/>
  <c r="BP136" i="1"/>
  <c r="BM136" i="1"/>
  <c r="BH136" i="1"/>
  <c r="BG136" i="1"/>
  <c r="BF136" i="1"/>
  <c r="BB136" i="1"/>
  <c r="AZ136" i="1"/>
  <c r="AY136" i="1" s="1"/>
  <c r="BL136" i="1" s="1"/>
  <c r="AX136" i="1"/>
  <c r="AV136" i="1" s="1"/>
  <c r="AS136" i="1"/>
  <c r="AJ136" i="1"/>
  <c r="AG136" i="1"/>
  <c r="AF136" i="1" s="1"/>
  <c r="AR136" i="1" s="1"/>
  <c r="AC136" i="1"/>
  <c r="Z136" i="1"/>
  <c r="Y136" i="1"/>
  <c r="X136" i="1"/>
  <c r="T136" i="1"/>
  <c r="S136" i="1"/>
  <c r="R136" i="1"/>
  <c r="O136" i="1" s="1"/>
  <c r="M136" i="1"/>
  <c r="K136" i="1" s="1"/>
  <c r="I136" i="1"/>
  <c r="G136" i="1"/>
  <c r="E136" i="1" s="1"/>
  <c r="IA133" i="1"/>
  <c r="HX133" i="1"/>
  <c r="HW133" i="1" s="1"/>
  <c r="HS133" i="1"/>
  <c r="HO133" i="1"/>
  <c r="HL133" i="1"/>
  <c r="HK133" i="1" s="1"/>
  <c r="GU133" i="1"/>
  <c r="FO133" i="1"/>
  <c r="FH133" i="1"/>
  <c r="FG133" i="1" s="1"/>
  <c r="FC133" i="1"/>
  <c r="ET133" i="1"/>
  <c r="EL133" i="1" s="1"/>
  <c r="EK133" i="1" s="1"/>
  <c r="EG133" i="1"/>
  <c r="IB132" i="1"/>
  <c r="IA132" i="1" s="1"/>
  <c r="HT132" i="1"/>
  <c r="HS132" i="1" s="1"/>
  <c r="HP132" i="1"/>
  <c r="HO132" i="1" s="1"/>
  <c r="GV132" i="1"/>
  <c r="GU132" i="1" s="1"/>
  <c r="FP132" i="1"/>
  <c r="FO132" i="1" s="1"/>
  <c r="FD132" i="1"/>
  <c r="EH132" i="1"/>
  <c r="EG132" i="1" s="1"/>
  <c r="FP131" i="1"/>
  <c r="FO131" i="1" s="1"/>
  <c r="FC131" i="1"/>
  <c r="ES131" i="1"/>
  <c r="EG131" i="1"/>
  <c r="IA130" i="1"/>
  <c r="HW130" i="1"/>
  <c r="HS130" i="1"/>
  <c r="HO130" i="1"/>
  <c r="HK130" i="1"/>
  <c r="HG130" i="1"/>
  <c r="GU130" i="1"/>
  <c r="FP130" i="1"/>
  <c r="FO130" i="1" s="1"/>
  <c r="FK130" i="1"/>
  <c r="FC130" i="1"/>
  <c r="FA130" i="1"/>
  <c r="EZ130" i="1" s="1"/>
  <c r="EW130" i="1"/>
  <c r="ES130" i="1"/>
  <c r="EO130" i="1"/>
  <c r="EL130" i="1"/>
  <c r="EK130" i="1" s="1"/>
  <c r="EG130" i="1"/>
  <c r="EE130" i="1"/>
  <c r="DU130" i="1"/>
  <c r="DS130" i="1"/>
  <c r="DR130" i="1" s="1"/>
  <c r="DO130" i="1"/>
  <c r="DL130" i="1"/>
  <c r="DI130" i="1"/>
  <c r="DG130" i="1"/>
  <c r="DF130" i="1" s="1"/>
  <c r="CW130" i="1"/>
  <c r="IB129" i="1"/>
  <c r="IA129" i="1" s="1"/>
  <c r="HX129" i="1"/>
  <c r="HW129" i="1" s="1"/>
  <c r="HT129" i="1"/>
  <c r="HS129" i="1" s="1"/>
  <c r="HP129" i="1"/>
  <c r="HO129" i="1" s="1"/>
  <c r="HL129" i="1"/>
  <c r="HK129" i="1" s="1"/>
  <c r="HH129" i="1"/>
  <c r="HG129" i="1" s="1"/>
  <c r="GV129" i="1"/>
  <c r="GU129" i="1" s="1"/>
  <c r="FN129" i="1"/>
  <c r="FM129" i="1"/>
  <c r="FL129" i="1"/>
  <c r="FD129" i="1"/>
  <c r="EX129" i="1"/>
  <c r="EW129" i="1" s="1"/>
  <c r="ET129" i="1"/>
  <c r="ES129" i="1" s="1"/>
  <c r="ER129" i="1"/>
  <c r="EQ129" i="1"/>
  <c r="EP129" i="1"/>
  <c r="EN129" i="1"/>
  <c r="EM129" i="1"/>
  <c r="EH129" i="1"/>
  <c r="EG129" i="1" s="1"/>
  <c r="DV129" i="1"/>
  <c r="DU129" i="1" s="1"/>
  <c r="DP129" i="1"/>
  <c r="DO129" i="1" s="1"/>
  <c r="DM129" i="1"/>
  <c r="DL129" i="1" s="1"/>
  <c r="DJ129" i="1"/>
  <c r="DI129" i="1" s="1"/>
  <c r="CX129" i="1"/>
  <c r="CW129" i="1" s="1"/>
  <c r="EW127" i="1"/>
  <c r="DU127" i="1"/>
  <c r="DO127" i="1"/>
  <c r="DM127" i="1"/>
  <c r="DJ127" i="1"/>
  <c r="CW127" i="1"/>
  <c r="IB126" i="1"/>
  <c r="IA126" i="1" s="1"/>
  <c r="HX126" i="1"/>
  <c r="HT126" i="1"/>
  <c r="HS126" i="1" s="1"/>
  <c r="HP126" i="1"/>
  <c r="HO126" i="1" s="1"/>
  <c r="HL126" i="1"/>
  <c r="HK126" i="1" s="1"/>
  <c r="HH126" i="1"/>
  <c r="HG126" i="1" s="1"/>
  <c r="GV126" i="1"/>
  <c r="GU126" i="1" s="1"/>
  <c r="FP126" i="1"/>
  <c r="FO126" i="1" s="1"/>
  <c r="FD126" i="1"/>
  <c r="ET126" i="1"/>
  <c r="ET125" i="1" s="1"/>
  <c r="ES125" i="1" s="1"/>
  <c r="EH126" i="1"/>
  <c r="EG126" i="1" s="1"/>
  <c r="DU126" i="1"/>
  <c r="DR126" i="1"/>
  <c r="DO126" i="1"/>
  <c r="DL126" i="1"/>
  <c r="DI126" i="1"/>
  <c r="DF126" i="1"/>
  <c r="CW126" i="1"/>
  <c r="EX125" i="1"/>
  <c r="EW125" i="1" s="1"/>
  <c r="DU125" i="1"/>
  <c r="DP125" i="1"/>
  <c r="DO125" i="1" s="1"/>
  <c r="CX125" i="1"/>
  <c r="CW125" i="1" s="1"/>
  <c r="IA124" i="1"/>
  <c r="HX124" i="1"/>
  <c r="HW124" i="1" s="1"/>
  <c r="HS124" i="1"/>
  <c r="HO124" i="1"/>
  <c r="HH124" i="1"/>
  <c r="HG124" i="1" s="1"/>
  <c r="GU124" i="1"/>
  <c r="FO124" i="1"/>
  <c r="FH124" i="1"/>
  <c r="FG124" i="1" s="1"/>
  <c r="FC124" i="1"/>
  <c r="ES124" i="1"/>
  <c r="EK124" i="1"/>
  <c r="EG124" i="1"/>
  <c r="HP123" i="1"/>
  <c r="HO123" i="1"/>
  <c r="HL123" i="1"/>
  <c r="HK123" i="1" s="1"/>
  <c r="GU123" i="1"/>
  <c r="FP123" i="1"/>
  <c r="FC123" i="1"/>
  <c r="EG123" i="1"/>
  <c r="IB122" i="1"/>
  <c r="IA122" i="1" s="1"/>
  <c r="HS122" i="1"/>
  <c r="HP122" i="1"/>
  <c r="HO122" i="1" s="1"/>
  <c r="HK122" i="1"/>
  <c r="GU122" i="1"/>
  <c r="FK122" i="1"/>
  <c r="EW122" i="1"/>
  <c r="ES122" i="1"/>
  <c r="EO122" i="1"/>
  <c r="EK122" i="1"/>
  <c r="EG122" i="1"/>
  <c r="DX122" i="1"/>
  <c r="DU122" i="1"/>
  <c r="DR122" i="1"/>
  <c r="DO122" i="1"/>
  <c r="DL122" i="1"/>
  <c r="DI122" i="1"/>
  <c r="DF122" i="1"/>
  <c r="CZ122" i="1"/>
  <c r="CW122" i="1"/>
  <c r="CT122" i="1"/>
  <c r="CQ122" i="1"/>
  <c r="CL122" i="1"/>
  <c r="CK122" i="1" s="1"/>
  <c r="CH122" i="1"/>
  <c r="CB122" i="1"/>
  <c r="CF122" i="1" s="1"/>
  <c r="BZ122" i="1"/>
  <c r="BY122" i="1" s="1"/>
  <c r="BV122" i="1"/>
  <c r="BT122" i="1"/>
  <c r="BS122" i="1" s="1"/>
  <c r="BH122" i="1"/>
  <c r="BF122" i="1"/>
  <c r="BE122" i="1" s="1"/>
  <c r="BB122" i="1"/>
  <c r="AY122" i="1"/>
  <c r="BL122" i="1" s="1"/>
  <c r="AW122" i="1"/>
  <c r="AV122" i="1" s="1"/>
  <c r="AS122" i="1"/>
  <c r="AF122" i="1"/>
  <c r="AC122" i="1"/>
  <c r="Z122" i="1"/>
  <c r="AK122" i="1" s="1"/>
  <c r="AL122" i="1" s="1"/>
  <c r="X122" i="1"/>
  <c r="W122" i="1" s="1"/>
  <c r="T122" i="1"/>
  <c r="Q122" i="1"/>
  <c r="O122" i="1"/>
  <c r="N122" i="1" s="1"/>
  <c r="K122" i="1"/>
  <c r="I122" i="1"/>
  <c r="H122" i="1" s="1"/>
  <c r="E122" i="1"/>
  <c r="IB121" i="1"/>
  <c r="HS121" i="1"/>
  <c r="HP121" i="1"/>
  <c r="HL121" i="1"/>
  <c r="HK121" i="1" s="1"/>
  <c r="GU121" i="1"/>
  <c r="FP121" i="1"/>
  <c r="FK121" i="1"/>
  <c r="FC121" i="1"/>
  <c r="EW121" i="1"/>
  <c r="ES121" i="1"/>
  <c r="EO121" i="1"/>
  <c r="EL121" i="1"/>
  <c r="EK121" i="1" s="1"/>
  <c r="EG121" i="1"/>
  <c r="DX121" i="1"/>
  <c r="DU121" i="1"/>
  <c r="DR121" i="1"/>
  <c r="DO121" i="1"/>
  <c r="DL121" i="1"/>
  <c r="DI121" i="1"/>
  <c r="DF121" i="1"/>
  <c r="CZ121" i="1"/>
  <c r="CW121" i="1"/>
  <c r="CT121" i="1"/>
  <c r="CQ121" i="1"/>
  <c r="CL121" i="1"/>
  <c r="CK121" i="1" s="1"/>
  <c r="CH121" i="1"/>
  <c r="CB121" i="1"/>
  <c r="CF121" i="1" s="1"/>
  <c r="BZ121" i="1"/>
  <c r="BV121" i="1"/>
  <c r="BT121" i="1"/>
  <c r="BS121" i="1" s="1"/>
  <c r="BH121" i="1"/>
  <c r="BF121" i="1"/>
  <c r="BB121" i="1"/>
  <c r="BB288" i="1" s="1"/>
  <c r="AY121" i="1"/>
  <c r="BL121" i="1" s="1"/>
  <c r="AW121" i="1"/>
  <c r="AV121" i="1" s="1"/>
  <c r="AS121" i="1"/>
  <c r="AF121" i="1"/>
  <c r="AC121" i="1"/>
  <c r="Z121" i="1"/>
  <c r="AK121" i="1" s="1"/>
  <c r="AL121" i="1" s="1"/>
  <c r="X121" i="1"/>
  <c r="X288" i="1" s="1"/>
  <c r="T121" i="1"/>
  <c r="T288" i="1" s="1"/>
  <c r="Q121" i="1"/>
  <c r="Q288" i="1" s="1"/>
  <c r="O121" i="1"/>
  <c r="N121" i="1" s="1"/>
  <c r="N288" i="1" s="1"/>
  <c r="K121" i="1"/>
  <c r="K288" i="1" s="1"/>
  <c r="I121" i="1"/>
  <c r="H121" i="1" s="1"/>
  <c r="H288" i="1" s="1"/>
  <c r="E121" i="1"/>
  <c r="E288" i="1" s="1"/>
  <c r="HT120" i="1"/>
  <c r="HS120" i="1" s="1"/>
  <c r="GV120" i="1"/>
  <c r="GU120" i="1" s="1"/>
  <c r="EH120" i="1"/>
  <c r="FL119" i="1"/>
  <c r="FK119" i="1" s="1"/>
  <c r="EY119" i="1"/>
  <c r="EX119" i="1"/>
  <c r="EP119" i="1"/>
  <c r="EO119" i="1" s="1"/>
  <c r="DZ119" i="1"/>
  <c r="DY119" i="1"/>
  <c r="DV119" i="1"/>
  <c r="DU119" i="1" s="1"/>
  <c r="DS119" i="1"/>
  <c r="DR119" i="1" s="1"/>
  <c r="DP119" i="1"/>
  <c r="DO119" i="1" s="1"/>
  <c r="DM119" i="1"/>
  <c r="DL119" i="1" s="1"/>
  <c r="DJ119" i="1"/>
  <c r="DI119" i="1" s="1"/>
  <c r="DG119" i="1"/>
  <c r="DF119" i="1" s="1"/>
  <c r="DB119" i="1"/>
  <c r="DA119" i="1"/>
  <c r="CX119" i="1"/>
  <c r="CW119" i="1" s="1"/>
  <c r="CT119" i="1"/>
  <c r="CS119" i="1"/>
  <c r="CR119" i="1"/>
  <c r="CJ119" i="1"/>
  <c r="CI119" i="1"/>
  <c r="CC119" i="1"/>
  <c r="CB119" i="1" s="1"/>
  <c r="CF119" i="1" s="1"/>
  <c r="BW119" i="1"/>
  <c r="BV119" i="1" s="1"/>
  <c r="BJ119" i="1"/>
  <c r="BI119" i="1"/>
  <c r="BC119" i="1"/>
  <c r="BB119" i="1" s="1"/>
  <c r="BA119" i="1"/>
  <c r="AZ119" i="1"/>
  <c r="AU119" i="1"/>
  <c r="AT119" i="1"/>
  <c r="AJ119" i="1"/>
  <c r="AH119" i="1"/>
  <c r="AG119" i="1"/>
  <c r="AE119" i="1"/>
  <c r="AD119" i="1"/>
  <c r="AB119" i="1"/>
  <c r="AA119" i="1"/>
  <c r="U119" i="1"/>
  <c r="T119" i="1" s="1"/>
  <c r="R119" i="1"/>
  <c r="Q119" i="1" s="1"/>
  <c r="L119" i="1"/>
  <c r="K119" i="1" s="1"/>
  <c r="F119" i="1"/>
  <c r="E119" i="1" s="1"/>
  <c r="FK118" i="1"/>
  <c r="FG118" i="1"/>
  <c r="EW118" i="1"/>
  <c r="EO118" i="1"/>
  <c r="EK118" i="1"/>
  <c r="DX118" i="1"/>
  <c r="DU118" i="1"/>
  <c r="DR118" i="1"/>
  <c r="DO118" i="1"/>
  <c r="DL118" i="1"/>
  <c r="DI118" i="1"/>
  <c r="DF118" i="1"/>
  <c r="CZ118" i="1"/>
  <c r="CW118" i="1"/>
  <c r="CT118" i="1"/>
  <c r="CQ118" i="1"/>
  <c r="CL118" i="1"/>
  <c r="CK118" i="1" s="1"/>
  <c r="CH118" i="1"/>
  <c r="CB118" i="1"/>
  <c r="CF118" i="1" s="1"/>
  <c r="BZ118" i="1"/>
  <c r="BY118" i="1" s="1"/>
  <c r="BV118" i="1"/>
  <c r="BT118" i="1"/>
  <c r="BS118" i="1" s="1"/>
  <c r="BH118" i="1"/>
  <c r="BF118" i="1"/>
  <c r="BE118" i="1" s="1"/>
  <c r="BB118" i="1"/>
  <c r="AY118" i="1"/>
  <c r="BL118" i="1" s="1"/>
  <c r="AW118" i="1"/>
  <c r="AW116" i="1" s="1"/>
  <c r="AV116" i="1" s="1"/>
  <c r="AS118" i="1"/>
  <c r="AF118" i="1"/>
  <c r="AC118" i="1"/>
  <c r="Z118" i="1"/>
  <c r="AK118" i="1" s="1"/>
  <c r="AL118" i="1" s="1"/>
  <c r="X118" i="1"/>
  <c r="W118" i="1" s="1"/>
  <c r="T118" i="1"/>
  <c r="Q118" i="1"/>
  <c r="O118" i="1"/>
  <c r="N118" i="1" s="1"/>
  <c r="K118" i="1"/>
  <c r="I118" i="1"/>
  <c r="H118" i="1" s="1"/>
  <c r="E118" i="1"/>
  <c r="IA117" i="1"/>
  <c r="HW117" i="1"/>
  <c r="HS117" i="1"/>
  <c r="HO117" i="1"/>
  <c r="HK117" i="1"/>
  <c r="HG117" i="1"/>
  <c r="GU117" i="1"/>
  <c r="FO117" i="1"/>
  <c r="FK117" i="1"/>
  <c r="FH117" i="1"/>
  <c r="FG117" i="1" s="1"/>
  <c r="FC117" i="1"/>
  <c r="EW117" i="1"/>
  <c r="ES117" i="1"/>
  <c r="EO117" i="1"/>
  <c r="EL117" i="1"/>
  <c r="EG117" i="1"/>
  <c r="DX117" i="1"/>
  <c r="DU117" i="1"/>
  <c r="DR117" i="1"/>
  <c r="DO117" i="1"/>
  <c r="DL117" i="1"/>
  <c r="DI117" i="1"/>
  <c r="DF117" i="1"/>
  <c r="CZ117" i="1"/>
  <c r="CW117" i="1"/>
  <c r="CT117" i="1"/>
  <c r="CQ117" i="1"/>
  <c r="CL117" i="1"/>
  <c r="CH117" i="1"/>
  <c r="CB117" i="1"/>
  <c r="CF117" i="1" s="1"/>
  <c r="BZ117" i="1"/>
  <c r="BY117" i="1" s="1"/>
  <c r="BV117" i="1"/>
  <c r="BH117" i="1"/>
  <c r="BF117" i="1"/>
  <c r="BE117" i="1" s="1"/>
  <c r="BB117" i="1"/>
  <c r="AZ117" i="1"/>
  <c r="AZ116" i="1" s="1"/>
  <c r="AV117" i="1"/>
  <c r="AS117" i="1"/>
  <c r="AF117" i="1"/>
  <c r="AF116" i="1" s="1"/>
  <c r="AC117" i="1"/>
  <c r="Z117" i="1"/>
  <c r="AK117" i="1" s="1"/>
  <c r="AL117" i="1" s="1"/>
  <c r="X117" i="1"/>
  <c r="X116" i="1" s="1"/>
  <c r="W116" i="1" s="1"/>
  <c r="T117" i="1"/>
  <c r="Q117" i="1"/>
  <c r="O117" i="1"/>
  <c r="O116" i="1" s="1"/>
  <c r="N116" i="1" s="1"/>
  <c r="K117" i="1"/>
  <c r="I117" i="1"/>
  <c r="H117" i="1" s="1"/>
  <c r="E117" i="1"/>
  <c r="IB116" i="1"/>
  <c r="IA116" i="1" s="1"/>
  <c r="HX116" i="1"/>
  <c r="HW116" i="1" s="1"/>
  <c r="HT116" i="1"/>
  <c r="HS116" i="1" s="1"/>
  <c r="HP116" i="1"/>
  <c r="HO116" i="1" s="1"/>
  <c r="HL116" i="1"/>
  <c r="HK116" i="1" s="1"/>
  <c r="HH116" i="1"/>
  <c r="HG116" i="1" s="1"/>
  <c r="GV116" i="1"/>
  <c r="GU116" i="1" s="1"/>
  <c r="FP116" i="1"/>
  <c r="FO116" i="1" s="1"/>
  <c r="FL116" i="1"/>
  <c r="FK116" i="1" s="1"/>
  <c r="FD116" i="1"/>
  <c r="EY116" i="1"/>
  <c r="EX116" i="1"/>
  <c r="ET116" i="1"/>
  <c r="ES116" i="1" s="1"/>
  <c r="EP116" i="1"/>
  <c r="EO116" i="1" s="1"/>
  <c r="EH116" i="1"/>
  <c r="EG116" i="1" s="1"/>
  <c r="DZ116" i="1"/>
  <c r="DY116" i="1"/>
  <c r="DV116" i="1"/>
  <c r="DU116" i="1" s="1"/>
  <c r="DS116" i="1"/>
  <c r="DR116" i="1" s="1"/>
  <c r="DP116" i="1"/>
  <c r="DO116" i="1" s="1"/>
  <c r="DM116" i="1"/>
  <c r="DL116" i="1" s="1"/>
  <c r="DJ116" i="1"/>
  <c r="DI116" i="1" s="1"/>
  <c r="DG116" i="1"/>
  <c r="DF116" i="1" s="1"/>
  <c r="DB116" i="1"/>
  <c r="DA116" i="1"/>
  <c r="CX116" i="1"/>
  <c r="CW116" i="1" s="1"/>
  <c r="CT116" i="1"/>
  <c r="CS116" i="1"/>
  <c r="CR116" i="1"/>
  <c r="CJ116" i="1"/>
  <c r="CI116" i="1"/>
  <c r="CC116" i="1"/>
  <c r="CB116" i="1" s="1"/>
  <c r="CF116" i="1" s="1"/>
  <c r="BW116" i="1"/>
  <c r="BV116" i="1" s="1"/>
  <c r="BU116" i="1"/>
  <c r="BJ116" i="1"/>
  <c r="BI116" i="1"/>
  <c r="BC116" i="1"/>
  <c r="BB116" i="1" s="1"/>
  <c r="BA116" i="1"/>
  <c r="AU116" i="1"/>
  <c r="AT116" i="1"/>
  <c r="AJ116" i="1"/>
  <c r="AH116" i="1"/>
  <c r="AG116" i="1"/>
  <c r="AE116" i="1"/>
  <c r="AD116" i="1"/>
  <c r="AB116" i="1"/>
  <c r="AA116" i="1"/>
  <c r="U116" i="1"/>
  <c r="T116" i="1" s="1"/>
  <c r="R116" i="1"/>
  <c r="Q116" i="1" s="1"/>
  <c r="L116" i="1"/>
  <c r="K116" i="1" s="1"/>
  <c r="F116" i="1"/>
  <c r="E116" i="1" s="1"/>
  <c r="FK115" i="1"/>
  <c r="FG115" i="1"/>
  <c r="EW115" i="1"/>
  <c r="EO115" i="1"/>
  <c r="EK115" i="1"/>
  <c r="DX115" i="1"/>
  <c r="DU115" i="1"/>
  <c r="DR115" i="1"/>
  <c r="DO115" i="1"/>
  <c r="DL115" i="1"/>
  <c r="DI115" i="1"/>
  <c r="DF115" i="1"/>
  <c r="CZ115" i="1"/>
  <c r="CW115" i="1"/>
  <c r="CT115" i="1"/>
  <c r="CQ115" i="1"/>
  <c r="CL115" i="1"/>
  <c r="CK115" i="1" s="1"/>
  <c r="CH115" i="1"/>
  <c r="CB115" i="1"/>
  <c r="CF115" i="1" s="1"/>
  <c r="BZ115" i="1"/>
  <c r="BY115" i="1" s="1"/>
  <c r="BV115" i="1"/>
  <c r="BH115" i="1"/>
  <c r="BF115" i="1"/>
  <c r="BE115" i="1" s="1"/>
  <c r="BB115" i="1"/>
  <c r="AY115" i="1"/>
  <c r="BL115" i="1" s="1"/>
  <c r="AW115" i="1"/>
  <c r="AS115" i="1"/>
  <c r="AF115" i="1"/>
  <c r="AC115" i="1"/>
  <c r="Z115" i="1"/>
  <c r="AK115" i="1" s="1"/>
  <c r="AL115" i="1" s="1"/>
  <c r="X115" i="1"/>
  <c r="W115" i="1" s="1"/>
  <c r="T115" i="1"/>
  <c r="Q115" i="1"/>
  <c r="O115" i="1"/>
  <c r="N115" i="1" s="1"/>
  <c r="K115" i="1"/>
  <c r="I115" i="1"/>
  <c r="H115" i="1" s="1"/>
  <c r="E115" i="1"/>
  <c r="IA114" i="1"/>
  <c r="HT114" i="1"/>
  <c r="HO114" i="1"/>
  <c r="HL114" i="1"/>
  <c r="HK114" i="1" s="1"/>
  <c r="HH114" i="1"/>
  <c r="HG114" i="1" s="1"/>
  <c r="GU114" i="1"/>
  <c r="FO114" i="1"/>
  <c r="FK114" i="1"/>
  <c r="FH114" i="1"/>
  <c r="FG114" i="1" s="1"/>
  <c r="FC114" i="1"/>
  <c r="EW114" i="1"/>
  <c r="FA114" i="1" s="1"/>
  <c r="ES114" i="1"/>
  <c r="EO114" i="1"/>
  <c r="EK114" i="1"/>
  <c r="EG114" i="1"/>
  <c r="EE114" i="1"/>
  <c r="EE113" i="1" s="1"/>
  <c r="ED113" i="1" s="1"/>
  <c r="DX114" i="1"/>
  <c r="DU114" i="1"/>
  <c r="DS114" i="1"/>
  <c r="DO114" i="1"/>
  <c r="DL114" i="1"/>
  <c r="DI114" i="1"/>
  <c r="DG114" i="1"/>
  <c r="DF114" i="1" s="1"/>
  <c r="CZ114" i="1"/>
  <c r="CW114" i="1"/>
  <c r="CT114" i="1"/>
  <c r="CQ114" i="1"/>
  <c r="CK114" i="1"/>
  <c r="CH114" i="1"/>
  <c r="CB114" i="1"/>
  <c r="CF114" i="1" s="1"/>
  <c r="BZ114" i="1"/>
  <c r="BY114" i="1" s="1"/>
  <c r="BV114" i="1"/>
  <c r="BF114" i="1"/>
  <c r="BE114" i="1" s="1"/>
  <c r="BB114" i="1"/>
  <c r="AZ114" i="1"/>
  <c r="AV114" i="1"/>
  <c r="AS114" i="1"/>
  <c r="AF114" i="1"/>
  <c r="AC114" i="1"/>
  <c r="Z114" i="1"/>
  <c r="AK114" i="1" s="1"/>
  <c r="AL114" i="1" s="1"/>
  <c r="X114" i="1"/>
  <c r="W114" i="1" s="1"/>
  <c r="T114" i="1"/>
  <c r="Q114" i="1"/>
  <c r="O114" i="1"/>
  <c r="N114" i="1" s="1"/>
  <c r="K114" i="1"/>
  <c r="I114" i="1"/>
  <c r="H114" i="1" s="1"/>
  <c r="E114" i="1"/>
  <c r="IB113" i="1"/>
  <c r="IA113" i="1" s="1"/>
  <c r="HP113" i="1"/>
  <c r="HO113" i="1" s="1"/>
  <c r="GV113" i="1"/>
  <c r="GU113" i="1" s="1"/>
  <c r="FP113" i="1"/>
  <c r="FO113" i="1" s="1"/>
  <c r="FL113" i="1"/>
  <c r="FK113" i="1" s="1"/>
  <c r="FH113" i="1"/>
  <c r="FG113" i="1" s="1"/>
  <c r="FD113" i="1"/>
  <c r="EY113" i="1"/>
  <c r="EX113" i="1"/>
  <c r="ET113" i="1"/>
  <c r="ES113" i="1" s="1"/>
  <c r="EP113" i="1"/>
  <c r="EL113" i="1"/>
  <c r="EK113" i="1" s="1"/>
  <c r="EH113" i="1"/>
  <c r="DZ113" i="1"/>
  <c r="DY113" i="1"/>
  <c r="DV113" i="1"/>
  <c r="DU113" i="1" s="1"/>
  <c r="DP113" i="1"/>
  <c r="DO113" i="1" s="1"/>
  <c r="DM113" i="1"/>
  <c r="DL113" i="1" s="1"/>
  <c r="DJ113" i="1"/>
  <c r="DI113" i="1" s="1"/>
  <c r="DB113" i="1"/>
  <c r="DA113" i="1"/>
  <c r="CX113" i="1"/>
  <c r="CW113" i="1" s="1"/>
  <c r="CT113" i="1"/>
  <c r="CS113" i="1"/>
  <c r="CR113" i="1"/>
  <c r="CJ113" i="1"/>
  <c r="CI113" i="1"/>
  <c r="CC113" i="1"/>
  <c r="CB113" i="1" s="1"/>
  <c r="CF113" i="1" s="1"/>
  <c r="BW113" i="1"/>
  <c r="BV113" i="1" s="1"/>
  <c r="BU113" i="1"/>
  <c r="BJ113" i="1"/>
  <c r="BC113" i="1"/>
  <c r="BB113" i="1" s="1"/>
  <c r="BA113" i="1"/>
  <c r="AU113" i="1"/>
  <c r="AT113" i="1"/>
  <c r="AJ113" i="1"/>
  <c r="AH113" i="1"/>
  <c r="AG113" i="1"/>
  <c r="AE113" i="1"/>
  <c r="AD113" i="1"/>
  <c r="AB113" i="1"/>
  <c r="AA113" i="1"/>
  <c r="U113" i="1"/>
  <c r="T113" i="1" s="1"/>
  <c r="R113" i="1"/>
  <c r="Q113" i="1" s="1"/>
  <c r="L113" i="1"/>
  <c r="K113" i="1" s="1"/>
  <c r="F113" i="1"/>
  <c r="E113" i="1" s="1"/>
  <c r="FK112" i="1"/>
  <c r="FG112" i="1"/>
  <c r="EW112" i="1"/>
  <c r="EO112" i="1"/>
  <c r="EK112" i="1"/>
  <c r="DX112" i="1"/>
  <c r="DU112" i="1"/>
  <c r="DR112" i="1"/>
  <c r="DO112" i="1"/>
  <c r="DL112" i="1"/>
  <c r="DI112" i="1"/>
  <c r="DF112" i="1"/>
  <c r="CZ112" i="1"/>
  <c r="CW112" i="1"/>
  <c r="CT112" i="1"/>
  <c r="CQ112" i="1"/>
  <c r="CL112" i="1"/>
  <c r="CK112" i="1" s="1"/>
  <c r="CH112" i="1"/>
  <c r="CB112" i="1"/>
  <c r="CF112" i="1" s="1"/>
  <c r="BZ112" i="1"/>
  <c r="BY112" i="1" s="1"/>
  <c r="BV112" i="1"/>
  <c r="BH112" i="1"/>
  <c r="BF112" i="1"/>
  <c r="BE112" i="1" s="1"/>
  <c r="BB112" i="1"/>
  <c r="AY112" i="1"/>
  <c r="BL112" i="1" s="1"/>
  <c r="AW112" i="1"/>
  <c r="AV112" i="1" s="1"/>
  <c r="AS112" i="1"/>
  <c r="AF112" i="1"/>
  <c r="AC112" i="1"/>
  <c r="Z112" i="1"/>
  <c r="AK112" i="1" s="1"/>
  <c r="AL112" i="1" s="1"/>
  <c r="X112" i="1"/>
  <c r="W112" i="1" s="1"/>
  <c r="T112" i="1"/>
  <c r="Q112" i="1"/>
  <c r="O112" i="1"/>
  <c r="N112" i="1" s="1"/>
  <c r="K112" i="1"/>
  <c r="I112" i="1"/>
  <c r="H112" i="1" s="1"/>
  <c r="E112" i="1"/>
  <c r="IA111" i="1"/>
  <c r="HS111" i="1"/>
  <c r="HO111" i="1"/>
  <c r="HL111" i="1"/>
  <c r="HX111" i="1" s="1"/>
  <c r="HX110" i="1" s="1"/>
  <c r="HW110" i="1" s="1"/>
  <c r="HH111" i="1"/>
  <c r="HG111" i="1" s="1"/>
  <c r="GU111" i="1"/>
  <c r="FO111" i="1"/>
  <c r="FK111" i="1"/>
  <c r="FH111" i="1"/>
  <c r="FG111" i="1" s="1"/>
  <c r="FC111" i="1"/>
  <c r="EW111" i="1"/>
  <c r="FA111" i="1" s="1"/>
  <c r="ES111" i="1"/>
  <c r="EO111" i="1"/>
  <c r="EL111" i="1"/>
  <c r="EK111" i="1" s="1"/>
  <c r="EG111" i="1"/>
  <c r="EE111" i="1"/>
  <c r="EE110" i="1" s="1"/>
  <c r="DX111" i="1"/>
  <c r="DU111" i="1"/>
  <c r="DO111" i="1"/>
  <c r="DM111" i="1"/>
  <c r="DL111" i="1" s="1"/>
  <c r="DJ111" i="1"/>
  <c r="DI111" i="1" s="1"/>
  <c r="CZ111" i="1"/>
  <c r="CW111" i="1"/>
  <c r="CT111" i="1"/>
  <c r="CQ111" i="1"/>
  <c r="CL111" i="1"/>
  <c r="CH111" i="1"/>
  <c r="BV111" i="1"/>
  <c r="BF111" i="1"/>
  <c r="BE111" i="1" s="1"/>
  <c r="BB111" i="1"/>
  <c r="AZ111" i="1"/>
  <c r="AV111" i="1"/>
  <c r="AS111" i="1"/>
  <c r="AF111" i="1"/>
  <c r="AC111" i="1"/>
  <c r="Z111" i="1"/>
  <c r="AK111" i="1" s="1"/>
  <c r="AL111" i="1" s="1"/>
  <c r="X111" i="1"/>
  <c r="T111" i="1"/>
  <c r="Q111" i="1"/>
  <c r="O111" i="1"/>
  <c r="K111" i="1"/>
  <c r="I111" i="1"/>
  <c r="H111" i="1" s="1"/>
  <c r="E111" i="1"/>
  <c r="IB110" i="1"/>
  <c r="IA110" i="1" s="1"/>
  <c r="HT110" i="1"/>
  <c r="HS110" i="1" s="1"/>
  <c r="HP110" i="1"/>
  <c r="HO110" i="1" s="1"/>
  <c r="GV110" i="1"/>
  <c r="GU110" i="1" s="1"/>
  <c r="FP110" i="1"/>
  <c r="FO110" i="1" s="1"/>
  <c r="FL110" i="1"/>
  <c r="FK110" i="1" s="1"/>
  <c r="FD110" i="1"/>
  <c r="EY110" i="1"/>
  <c r="EX110" i="1"/>
  <c r="ET110" i="1"/>
  <c r="ES110" i="1" s="1"/>
  <c r="EP110" i="1"/>
  <c r="EO110" i="1" s="1"/>
  <c r="EH110" i="1"/>
  <c r="EG110" i="1" s="1"/>
  <c r="DZ110" i="1"/>
  <c r="DY110" i="1"/>
  <c r="DV110" i="1"/>
  <c r="DP110" i="1"/>
  <c r="DO110" i="1" s="1"/>
  <c r="DB110" i="1"/>
  <c r="DA110" i="1"/>
  <c r="CX110" i="1"/>
  <c r="CW110" i="1" s="1"/>
  <c r="CT110" i="1"/>
  <c r="CS110" i="1"/>
  <c r="CR110" i="1"/>
  <c r="CJ110" i="1"/>
  <c r="CI110" i="1"/>
  <c r="BW110" i="1"/>
  <c r="BV110" i="1" s="1"/>
  <c r="BU110" i="1"/>
  <c r="BJ110" i="1"/>
  <c r="BC110" i="1"/>
  <c r="BB110" i="1" s="1"/>
  <c r="BA110" i="1"/>
  <c r="AU110" i="1"/>
  <c r="AT110" i="1"/>
  <c r="AJ110" i="1"/>
  <c r="AH110" i="1"/>
  <c r="AG110" i="1"/>
  <c r="AE110" i="1"/>
  <c r="AD110" i="1"/>
  <c r="AB110" i="1"/>
  <c r="AA110" i="1"/>
  <c r="U110" i="1"/>
  <c r="T110" i="1" s="1"/>
  <c r="R110" i="1"/>
  <c r="Q110" i="1" s="1"/>
  <c r="L110" i="1"/>
  <c r="K110" i="1" s="1"/>
  <c r="F110" i="1"/>
  <c r="E110" i="1" s="1"/>
  <c r="IB107" i="1"/>
  <c r="HT107" i="1"/>
  <c r="HS107" i="1" s="1"/>
  <c r="HP107" i="1"/>
  <c r="HO107" i="1" s="1"/>
  <c r="HL107" i="1"/>
  <c r="HK107" i="1" s="1"/>
  <c r="GV107" i="1"/>
  <c r="GU107" i="1" s="1"/>
  <c r="FP107" i="1"/>
  <c r="FO107" i="1" s="1"/>
  <c r="FD107" i="1"/>
  <c r="ET107" i="1"/>
  <c r="ES107" i="1" s="1"/>
  <c r="EL107" i="1"/>
  <c r="EK107" i="1" s="1"/>
  <c r="EH107" i="1"/>
  <c r="EG107" i="1" s="1"/>
  <c r="ID105" i="1"/>
  <c r="HZ105" i="1"/>
  <c r="HV105" i="1"/>
  <c r="HR105" i="1"/>
  <c r="HN105" i="1"/>
  <c r="HJ105" i="1"/>
  <c r="GX105" i="1"/>
  <c r="FR105" i="1"/>
  <c r="FN105" i="1"/>
  <c r="FJ105" i="1"/>
  <c r="FF105" i="1"/>
  <c r="FB105" i="1"/>
  <c r="ER105" i="1"/>
  <c r="EN105" i="1"/>
  <c r="EJ105" i="1"/>
  <c r="DT105" i="1"/>
  <c r="DQ105" i="1"/>
  <c r="DN105" i="1"/>
  <c r="DK105" i="1"/>
  <c r="DH105" i="1"/>
  <c r="CY105" i="1"/>
  <c r="CV105" i="1"/>
  <c r="CU105" i="1"/>
  <c r="CP105" i="1"/>
  <c r="CO105" i="1"/>
  <c r="CN105" i="1"/>
  <c r="CG105" i="1"/>
  <c r="CE105" i="1"/>
  <c r="CD105" i="1"/>
  <c r="CA105" i="1"/>
  <c r="BZ105" i="1"/>
  <c r="BX105" i="1"/>
  <c r="BW105" i="1"/>
  <c r="BU105" i="1"/>
  <c r="BT105" i="1"/>
  <c r="BR105" i="1"/>
  <c r="BQ105" i="1"/>
  <c r="BO105" i="1"/>
  <c r="BN105" i="1"/>
  <c r="BJ105" i="1"/>
  <c r="BI105" i="1"/>
  <c r="BG105" i="1"/>
  <c r="BF105" i="1"/>
  <c r="BD105" i="1"/>
  <c r="BC105" i="1"/>
  <c r="BA105" i="1"/>
  <c r="AZ105" i="1"/>
  <c r="BL105" i="1" s="1"/>
  <c r="AX105" i="1"/>
  <c r="AW105" i="1"/>
  <c r="AU105" i="1"/>
  <c r="AT105" i="1"/>
  <c r="AR105" i="1"/>
  <c r="AQ105" i="1"/>
  <c r="AP105" i="1"/>
  <c r="AN105" i="1"/>
  <c r="AM105" i="1"/>
  <c r="AL105" i="1"/>
  <c r="AK105" i="1"/>
  <c r="AJ105" i="1"/>
  <c r="AI105" i="1"/>
  <c r="AH105" i="1"/>
  <c r="AG105" i="1"/>
  <c r="AF105" i="1"/>
  <c r="AE105" i="1"/>
  <c r="AD105" i="1"/>
  <c r="AC105" i="1"/>
  <c r="AB105" i="1"/>
  <c r="AA105" i="1"/>
  <c r="Y105" i="1"/>
  <c r="X105" i="1"/>
  <c r="V105" i="1"/>
  <c r="U105" i="1"/>
  <c r="S105" i="1"/>
  <c r="R105" i="1"/>
  <c r="P105" i="1"/>
  <c r="O105" i="1"/>
  <c r="M105" i="1"/>
  <c r="L105" i="1"/>
  <c r="J105" i="1"/>
  <c r="I105" i="1"/>
  <c r="G105" i="1"/>
  <c r="F105" i="1"/>
  <c r="IA104" i="1"/>
  <c r="HS104" i="1"/>
  <c r="HO104" i="1"/>
  <c r="HL104" i="1"/>
  <c r="HH104" i="1"/>
  <c r="HG104" i="1" s="1"/>
  <c r="GU104" i="1"/>
  <c r="FP104" i="1"/>
  <c r="FH104" i="1" s="1"/>
  <c r="FK104" i="1"/>
  <c r="FC104" i="1"/>
  <c r="EW104" i="1"/>
  <c r="ES104" i="1"/>
  <c r="EO104" i="1"/>
  <c r="EK104" i="1"/>
  <c r="EG104" i="1"/>
  <c r="DX104" i="1"/>
  <c r="DU104" i="1"/>
  <c r="DO104" i="1"/>
  <c r="DL104" i="1"/>
  <c r="DJ104" i="1"/>
  <c r="DS104" i="1" s="1"/>
  <c r="DR104" i="1" s="1"/>
  <c r="CZ104" i="1"/>
  <c r="CW104" i="1"/>
  <c r="CT104" i="1"/>
  <c r="CQ104" i="1"/>
  <c r="CL104" i="1"/>
  <c r="CK104" i="1" s="1"/>
  <c r="CH104" i="1"/>
  <c r="BY104" i="1"/>
  <c r="BV104" i="1"/>
  <c r="BP104" i="1"/>
  <c r="BM104" i="1"/>
  <c r="BG104" i="1"/>
  <c r="BF104" i="1"/>
  <c r="BB104" i="1"/>
  <c r="AZ104" i="1"/>
  <c r="AV104" i="1"/>
  <c r="AS104" i="1"/>
  <c r="AG104" i="1"/>
  <c r="AC104" i="1"/>
  <c r="Z104" i="1"/>
  <c r="Y104" i="1"/>
  <c r="X104" i="1"/>
  <c r="T104" i="1"/>
  <c r="R104" i="1"/>
  <c r="P104" i="1"/>
  <c r="K104" i="1"/>
  <c r="J104" i="1"/>
  <c r="I104" i="1"/>
  <c r="E104" i="1"/>
  <c r="FO99" i="1"/>
  <c r="FH99" i="1"/>
  <c r="FG99" i="1" s="1"/>
  <c r="FC99" i="1"/>
  <c r="FP97" i="1"/>
  <c r="FO97" i="1" s="1"/>
  <c r="FD97" i="1"/>
  <c r="FD96" i="1" s="1"/>
  <c r="IA95" i="1"/>
  <c r="HX95" i="1"/>
  <c r="HX91" i="1" s="1"/>
  <c r="HW91" i="1" s="1"/>
  <c r="HS95" i="1"/>
  <c r="HO95" i="1"/>
  <c r="HH95" i="1"/>
  <c r="HH91" i="1" s="1"/>
  <c r="HG91" i="1" s="1"/>
  <c r="GU95" i="1"/>
  <c r="FO95" i="1"/>
  <c r="FH95" i="1"/>
  <c r="FG95" i="1" s="1"/>
  <c r="FC95" i="1"/>
  <c r="FT95" i="1" s="1"/>
  <c r="ES95" i="1"/>
  <c r="EK95" i="1"/>
  <c r="EG95" i="1"/>
  <c r="HG94" i="1"/>
  <c r="FO94" i="1"/>
  <c r="FH94" i="1"/>
  <c r="FG94" i="1" s="1"/>
  <c r="FC94" i="1"/>
  <c r="ES94" i="1"/>
  <c r="EK94" i="1"/>
  <c r="EG94" i="1"/>
  <c r="IA93" i="1"/>
  <c r="HS93" i="1"/>
  <c r="HO93" i="1"/>
  <c r="HG93" i="1"/>
  <c r="GU93" i="1"/>
  <c r="FO93" i="1"/>
  <c r="FK93" i="1"/>
  <c r="FH93" i="1"/>
  <c r="FG93" i="1" s="1"/>
  <c r="FC93" i="1"/>
  <c r="FT93" i="1" s="1"/>
  <c r="EW93" i="1"/>
  <c r="ET93" i="1"/>
  <c r="ES93" i="1" s="1"/>
  <c r="EO93" i="1"/>
  <c r="EK93" i="1"/>
  <c r="EG93" i="1"/>
  <c r="DX93" i="1"/>
  <c r="DU93" i="1"/>
  <c r="DR93" i="1"/>
  <c r="DO93" i="1"/>
  <c r="DL93" i="1"/>
  <c r="DI93" i="1"/>
  <c r="DF93" i="1"/>
  <c r="CZ93" i="1"/>
  <c r="CW93" i="1"/>
  <c r="CT93" i="1"/>
  <c r="CQ93" i="1"/>
  <c r="CL93" i="1"/>
  <c r="CL91" i="1" s="1"/>
  <c r="CK91" i="1" s="1"/>
  <c r="CH93" i="1"/>
  <c r="CB93" i="1"/>
  <c r="CF93" i="1" s="1"/>
  <c r="BY93" i="1"/>
  <c r="BV93" i="1"/>
  <c r="BH93" i="1"/>
  <c r="BF93" i="1"/>
  <c r="BF91" i="1" s="1"/>
  <c r="BE91" i="1" s="1"/>
  <c r="BB93" i="1"/>
  <c r="AZ93" i="1"/>
  <c r="BT93" i="1" s="1"/>
  <c r="AV93" i="1"/>
  <c r="AS93" i="1"/>
  <c r="AI93" i="1"/>
  <c r="AF93" i="1"/>
  <c r="AR93" i="1" s="1"/>
  <c r="AD93" i="1"/>
  <c r="AC93" i="1" s="1"/>
  <c r="Z93" i="1"/>
  <c r="AK93" i="1" s="1"/>
  <c r="AL93" i="1" s="1"/>
  <c r="X93" i="1"/>
  <c r="W93" i="1" s="1"/>
  <c r="T93" i="1"/>
  <c r="Q93" i="1"/>
  <c r="O93" i="1"/>
  <c r="N93" i="1" s="1"/>
  <c r="K93" i="1"/>
  <c r="I93" i="1"/>
  <c r="E93" i="1"/>
  <c r="IB92" i="1"/>
  <c r="IA92" i="1" s="1"/>
  <c r="HT92" i="1"/>
  <c r="HS92" i="1" s="1"/>
  <c r="HP92" i="1"/>
  <c r="HO92" i="1" s="1"/>
  <c r="HH92" i="1"/>
  <c r="HG92" i="1" s="1"/>
  <c r="GV92" i="1"/>
  <c r="GU92" i="1" s="1"/>
  <c r="FP92" i="1"/>
  <c r="FO92" i="1" s="1"/>
  <c r="FC92" i="1"/>
  <c r="EL92" i="1"/>
  <c r="EK92" i="1" s="1"/>
  <c r="EH92" i="1"/>
  <c r="EG92" i="1" s="1"/>
  <c r="IB91" i="1"/>
  <c r="IA91" i="1" s="1"/>
  <c r="HT91" i="1"/>
  <c r="HS91" i="1" s="1"/>
  <c r="HP91" i="1"/>
  <c r="HO91" i="1" s="1"/>
  <c r="HL91" i="1"/>
  <c r="HK91" i="1" s="1"/>
  <c r="GV91" i="1"/>
  <c r="GU91" i="1" s="1"/>
  <c r="FP91" i="1"/>
  <c r="FO91" i="1" s="1"/>
  <c r="FN91" i="1"/>
  <c r="FL91" i="1"/>
  <c r="FJ91" i="1"/>
  <c r="FD91" i="1"/>
  <c r="FC91" i="1" s="1"/>
  <c r="EY91" i="1"/>
  <c r="EX91" i="1"/>
  <c r="ER91" i="1"/>
  <c r="EP91" i="1"/>
  <c r="EN91" i="1"/>
  <c r="EL91" i="1"/>
  <c r="EH91" i="1"/>
  <c r="EG91" i="1" s="1"/>
  <c r="DZ91" i="1"/>
  <c r="DY91" i="1"/>
  <c r="DV91" i="1"/>
  <c r="DU91" i="1" s="1"/>
  <c r="DT91" i="1"/>
  <c r="DS91" i="1"/>
  <c r="DQ91" i="1"/>
  <c r="DP91" i="1"/>
  <c r="DN91" i="1"/>
  <c r="DM91" i="1"/>
  <c r="DK91" i="1"/>
  <c r="DJ91" i="1"/>
  <c r="DH91" i="1"/>
  <c r="DG91" i="1"/>
  <c r="DB91" i="1"/>
  <c r="DA91" i="1"/>
  <c r="CY91" i="1"/>
  <c r="CX91" i="1"/>
  <c r="CT91" i="1"/>
  <c r="CS91" i="1"/>
  <c r="CR91" i="1"/>
  <c r="CO91" i="1"/>
  <c r="CN91" i="1" s="1"/>
  <c r="CJ91" i="1"/>
  <c r="CI91" i="1"/>
  <c r="CD91" i="1"/>
  <c r="CC91" i="1"/>
  <c r="BZ91" i="1"/>
  <c r="BY91" i="1" s="1"/>
  <c r="BX91" i="1"/>
  <c r="BW91" i="1"/>
  <c r="BU91" i="1"/>
  <c r="BJ91" i="1"/>
  <c r="BI91" i="1"/>
  <c r="BD91" i="1"/>
  <c r="BC91" i="1"/>
  <c r="BA91" i="1"/>
  <c r="AW91" i="1"/>
  <c r="AV91" i="1" s="1"/>
  <c r="AU91" i="1"/>
  <c r="AT91" i="1"/>
  <c r="AH91" i="1"/>
  <c r="AG91" i="1"/>
  <c r="AE91" i="1"/>
  <c r="AB91" i="1"/>
  <c r="AA91" i="1"/>
  <c r="AI91" i="1" s="1"/>
  <c r="V91" i="1"/>
  <c r="U91" i="1"/>
  <c r="S91" i="1"/>
  <c r="R91" i="1"/>
  <c r="M91" i="1"/>
  <c r="L91" i="1"/>
  <c r="G91" i="1"/>
  <c r="F91" i="1"/>
  <c r="FL90" i="1"/>
  <c r="FL88" i="1" s="1"/>
  <c r="FG90" i="1"/>
  <c r="EW90" i="1"/>
  <c r="EL90" i="1"/>
  <c r="EK90" i="1" s="1"/>
  <c r="DX90" i="1"/>
  <c r="DU90" i="1"/>
  <c r="DO90" i="1"/>
  <c r="DJ90" i="1"/>
  <c r="DG90" i="1" s="1"/>
  <c r="DF90" i="1" s="1"/>
  <c r="CZ90" i="1"/>
  <c r="CW90" i="1"/>
  <c r="CT90" i="1"/>
  <c r="CQ90" i="1"/>
  <c r="CL90" i="1"/>
  <c r="CK90" i="1" s="1"/>
  <c r="CH90" i="1"/>
  <c r="CB90" i="1"/>
  <c r="CF90" i="1" s="1"/>
  <c r="BZ90" i="1"/>
  <c r="BV90" i="1"/>
  <c r="BT90" i="1"/>
  <c r="BS90" i="1" s="1"/>
  <c r="BL90" i="1"/>
  <c r="BH90" i="1"/>
  <c r="BF90" i="1"/>
  <c r="BE90" i="1" s="1"/>
  <c r="BB90" i="1"/>
  <c r="AY90" i="1"/>
  <c r="AW90" i="1"/>
  <c r="AV90" i="1" s="1"/>
  <c r="AS90" i="1"/>
  <c r="AI90" i="1"/>
  <c r="AF90" i="1"/>
  <c r="AC90" i="1"/>
  <c r="Z90" i="1"/>
  <c r="AK90" i="1" s="1"/>
  <c r="AL90" i="1" s="1"/>
  <c r="X90" i="1"/>
  <c r="W90" i="1" s="1"/>
  <c r="T90" i="1"/>
  <c r="Q90" i="1"/>
  <c r="O90" i="1"/>
  <c r="N90" i="1" s="1"/>
  <c r="K90" i="1"/>
  <c r="I90" i="1"/>
  <c r="H90" i="1" s="1"/>
  <c r="E90" i="1"/>
  <c r="IA89" i="1"/>
  <c r="HX89" i="1"/>
  <c r="HW89" i="1" s="1"/>
  <c r="HS89" i="1"/>
  <c r="HO89" i="1"/>
  <c r="HL89" i="1"/>
  <c r="HK89" i="1" s="1"/>
  <c r="HG89" i="1"/>
  <c r="GU89" i="1"/>
  <c r="FO89" i="1"/>
  <c r="FK89" i="1"/>
  <c r="FH89" i="1"/>
  <c r="FH88" i="1" s="1"/>
  <c r="FC89" i="1"/>
  <c r="EW89" i="1"/>
  <c r="FA89" i="1" s="1"/>
  <c r="EZ89" i="1" s="1"/>
  <c r="ET89" i="1"/>
  <c r="ES89" i="1" s="1"/>
  <c r="EO89" i="1"/>
  <c r="EK89" i="1"/>
  <c r="EG89" i="1"/>
  <c r="EE89" i="1"/>
  <c r="ED89" i="1" s="1"/>
  <c r="DX89" i="1"/>
  <c r="DU89" i="1"/>
  <c r="DR89" i="1"/>
  <c r="DO89" i="1"/>
  <c r="DL89" i="1"/>
  <c r="DI89" i="1"/>
  <c r="DG89" i="1"/>
  <c r="DF89" i="1" s="1"/>
  <c r="CZ89" i="1"/>
  <c r="CW89" i="1"/>
  <c r="CT89" i="1"/>
  <c r="CQ89" i="1"/>
  <c r="CL89" i="1"/>
  <c r="CH89" i="1"/>
  <c r="CB89" i="1"/>
  <c r="CF89" i="1" s="1"/>
  <c r="BZ89" i="1"/>
  <c r="BY89" i="1" s="1"/>
  <c r="BV89" i="1"/>
  <c r="BT89" i="1"/>
  <c r="BS89" i="1" s="1"/>
  <c r="BL89" i="1"/>
  <c r="BH89" i="1"/>
  <c r="BF89" i="1"/>
  <c r="BE89" i="1" s="1"/>
  <c r="BB89" i="1"/>
  <c r="AY89" i="1"/>
  <c r="AW89" i="1"/>
  <c r="AV89" i="1" s="1"/>
  <c r="AS89" i="1"/>
  <c r="AI89" i="1"/>
  <c r="AF89" i="1"/>
  <c r="AC89" i="1"/>
  <c r="Z89" i="1"/>
  <c r="AK89" i="1" s="1"/>
  <c r="AL89" i="1" s="1"/>
  <c r="X89" i="1"/>
  <c r="W89" i="1" s="1"/>
  <c r="T89" i="1"/>
  <c r="Q89" i="1"/>
  <c r="O89" i="1"/>
  <c r="N89" i="1" s="1"/>
  <c r="K89" i="1"/>
  <c r="I89" i="1"/>
  <c r="E89" i="1"/>
  <c r="IB88" i="1"/>
  <c r="IA88" i="1" s="1"/>
  <c r="HT88" i="1"/>
  <c r="HS88" i="1" s="1"/>
  <c r="HP88" i="1"/>
  <c r="HO88" i="1" s="1"/>
  <c r="HH88" i="1"/>
  <c r="HG88" i="1" s="1"/>
  <c r="GV88" i="1"/>
  <c r="GU88" i="1" s="1"/>
  <c r="FP88" i="1"/>
  <c r="FO88" i="1" s="1"/>
  <c r="FN88" i="1"/>
  <c r="FJ88" i="1"/>
  <c r="FD88" i="1"/>
  <c r="FC88" i="1" s="1"/>
  <c r="EY88" i="1"/>
  <c r="EX88" i="1"/>
  <c r="ER88" i="1"/>
  <c r="EN88" i="1"/>
  <c r="EH88" i="1"/>
  <c r="EG88" i="1" s="1"/>
  <c r="DZ88" i="1"/>
  <c r="DY88" i="1"/>
  <c r="DV88" i="1"/>
  <c r="DU88" i="1" s="1"/>
  <c r="DT88" i="1"/>
  <c r="DQ88" i="1"/>
  <c r="DP88" i="1"/>
  <c r="DN88" i="1"/>
  <c r="DK88" i="1"/>
  <c r="DH88" i="1"/>
  <c r="DB88" i="1"/>
  <c r="DA88" i="1"/>
  <c r="CX88" i="1"/>
  <c r="CW88" i="1" s="1"/>
  <c r="CT88" i="1"/>
  <c r="CS88" i="1"/>
  <c r="CR88" i="1"/>
  <c r="CJ88" i="1"/>
  <c r="CI88" i="1"/>
  <c r="CD88" i="1"/>
  <c r="CC88" i="1"/>
  <c r="BX88" i="1"/>
  <c r="BW88" i="1"/>
  <c r="BU88" i="1"/>
  <c r="BJ88" i="1"/>
  <c r="BI88" i="1"/>
  <c r="BD88" i="1"/>
  <c r="BC88" i="1"/>
  <c r="BA88" i="1"/>
  <c r="AZ88" i="1"/>
  <c r="AU88" i="1"/>
  <c r="AT88" i="1"/>
  <c r="AJ88" i="1"/>
  <c r="AH88" i="1"/>
  <c r="AG88" i="1"/>
  <c r="AE88" i="1"/>
  <c r="AD88" i="1"/>
  <c r="AB88" i="1"/>
  <c r="AA88" i="1"/>
  <c r="V88" i="1"/>
  <c r="U88" i="1"/>
  <c r="S88" i="1"/>
  <c r="R88" i="1"/>
  <c r="M88" i="1"/>
  <c r="L88" i="1"/>
  <c r="G88" i="1"/>
  <c r="F88" i="1"/>
  <c r="ES87" i="1"/>
  <c r="EL87" i="1"/>
  <c r="EK87" i="1" s="1"/>
  <c r="ES86" i="1"/>
  <c r="EK86" i="1"/>
  <c r="ES85" i="1"/>
  <c r="EK85" i="1"/>
  <c r="ES84" i="1"/>
  <c r="EK84" i="1"/>
  <c r="ES83" i="1"/>
  <c r="EK83" i="1"/>
  <c r="ES82" i="1"/>
  <c r="EK82" i="1"/>
  <c r="ES81" i="1"/>
  <c r="EK81" i="1"/>
  <c r="GU80" i="1"/>
  <c r="FC80" i="1"/>
  <c r="ES80" i="1"/>
  <c r="EK80" i="1"/>
  <c r="DS80" i="1"/>
  <c r="DR80" i="1" s="1"/>
  <c r="DO80" i="1"/>
  <c r="DL80" i="1"/>
  <c r="DI80" i="1"/>
  <c r="DG80" i="1"/>
  <c r="DF80" i="1" s="1"/>
  <c r="CW80" i="1"/>
  <c r="GU79" i="1"/>
  <c r="FO79" i="1"/>
  <c r="FH79" i="1"/>
  <c r="FG79" i="1" s="1"/>
  <c r="FC79" i="1"/>
  <c r="ES79" i="1"/>
  <c r="EL79" i="1"/>
  <c r="EK79" i="1" s="1"/>
  <c r="EG79" i="1"/>
  <c r="DS79" i="1"/>
  <c r="DR79" i="1" s="1"/>
  <c r="DO79" i="1"/>
  <c r="DL79" i="1"/>
  <c r="DI79" i="1"/>
  <c r="DG79" i="1"/>
  <c r="DF79" i="1" s="1"/>
  <c r="CW79" i="1"/>
  <c r="GV78" i="1"/>
  <c r="GU78" i="1" s="1"/>
  <c r="FP78" i="1"/>
  <c r="FO78" i="1" s="1"/>
  <c r="FD78" i="1"/>
  <c r="ET78" i="1"/>
  <c r="ES78" i="1" s="1"/>
  <c r="EH78" i="1"/>
  <c r="EG78" i="1" s="1"/>
  <c r="DP78" i="1"/>
  <c r="DO78" i="1" s="1"/>
  <c r="DM78" i="1"/>
  <c r="DL78" i="1" s="1"/>
  <c r="DJ78" i="1"/>
  <c r="DI78" i="1" s="1"/>
  <c r="CX78" i="1"/>
  <c r="CW78" i="1" s="1"/>
  <c r="FO77" i="1"/>
  <c r="EG77" i="1"/>
  <c r="DO77" i="1"/>
  <c r="DL77" i="1"/>
  <c r="DJ77" i="1"/>
  <c r="DJ75" i="1" s="1"/>
  <c r="DI75" i="1" s="1"/>
  <c r="CW77" i="1"/>
  <c r="FO76" i="1"/>
  <c r="EG76" i="1"/>
  <c r="DS76" i="1"/>
  <c r="DR76" i="1" s="1"/>
  <c r="DO76" i="1"/>
  <c r="DL76" i="1"/>
  <c r="DI76" i="1"/>
  <c r="DG76" i="1"/>
  <c r="DF76" i="1" s="1"/>
  <c r="CW76" i="1"/>
  <c r="FO75" i="1"/>
  <c r="EG75" i="1"/>
  <c r="DP75" i="1"/>
  <c r="DO75" i="1" s="1"/>
  <c r="DM75" i="1"/>
  <c r="DL75" i="1" s="1"/>
  <c r="DH75" i="1"/>
  <c r="DH73" i="1" s="1"/>
  <c r="CX75" i="1"/>
  <c r="CW75" i="1" s="1"/>
  <c r="FO74" i="1"/>
  <c r="EG74" i="1"/>
  <c r="DS74" i="1"/>
  <c r="DS73" i="1" s="1"/>
  <c r="DR73" i="1" s="1"/>
  <c r="DO74" i="1"/>
  <c r="DL74" i="1"/>
  <c r="DI74" i="1"/>
  <c r="DG74" i="1"/>
  <c r="DF74" i="1" s="1"/>
  <c r="CW74" i="1"/>
  <c r="FO73" i="1"/>
  <c r="EG73" i="1"/>
  <c r="DQ73" i="1"/>
  <c r="DN73" i="1"/>
  <c r="DM73" i="1"/>
  <c r="DK73" i="1"/>
  <c r="DJ73" i="1"/>
  <c r="CX73" i="1"/>
  <c r="CW73" i="1" s="1"/>
  <c r="FO72" i="1"/>
  <c r="EG72" i="1"/>
  <c r="DS72" i="1"/>
  <c r="DS70" i="1" s="1"/>
  <c r="DO72" i="1"/>
  <c r="DL72" i="1"/>
  <c r="DI72" i="1"/>
  <c r="DG72" i="1"/>
  <c r="DG70" i="1" s="1"/>
  <c r="CZ72" i="1"/>
  <c r="CW72" i="1"/>
  <c r="FO71" i="1"/>
  <c r="EG71" i="1"/>
  <c r="DR71" i="1"/>
  <c r="DO71" i="1"/>
  <c r="DL71" i="1"/>
  <c r="DI71" i="1"/>
  <c r="DF71" i="1"/>
  <c r="CZ71" i="1"/>
  <c r="CW71" i="1"/>
  <c r="FO70" i="1"/>
  <c r="EW70" i="1"/>
  <c r="EG70" i="1"/>
  <c r="DU70" i="1"/>
  <c r="DT70" i="1"/>
  <c r="DQ70" i="1"/>
  <c r="DP70" i="1"/>
  <c r="DN70" i="1"/>
  <c r="DM70" i="1"/>
  <c r="DK70" i="1"/>
  <c r="DJ70" i="1"/>
  <c r="DH70" i="1"/>
  <c r="DB70" i="1"/>
  <c r="DA70" i="1"/>
  <c r="CX70" i="1"/>
  <c r="CW70" i="1" s="1"/>
  <c r="IA68" i="1"/>
  <c r="HS68" i="1"/>
  <c r="HP68" i="1"/>
  <c r="HO68" i="1" s="1"/>
  <c r="GU68" i="1"/>
  <c r="FP68" i="1"/>
  <c r="FH68" i="1" s="1"/>
  <c r="FG68" i="1" s="1"/>
  <c r="FK68" i="1"/>
  <c r="FC68" i="1"/>
  <c r="EW68" i="1"/>
  <c r="ES68" i="1"/>
  <c r="EO68" i="1"/>
  <c r="EK68" i="1"/>
  <c r="EG68" i="1"/>
  <c r="DX68" i="1"/>
  <c r="DU68" i="1"/>
  <c r="DO68" i="1"/>
  <c r="DJ68" i="1"/>
  <c r="CZ68" i="1"/>
  <c r="CW68" i="1"/>
  <c r="CT68" i="1"/>
  <c r="CQ68" i="1"/>
  <c r="CL68" i="1"/>
  <c r="CK68" i="1" s="1"/>
  <c r="CH68" i="1"/>
  <c r="CB68" i="1"/>
  <c r="CF68" i="1" s="1"/>
  <c r="BZ68" i="1"/>
  <c r="BY68" i="1" s="1"/>
  <c r="BV68" i="1"/>
  <c r="BT68" i="1"/>
  <c r="BS68" i="1" s="1"/>
  <c r="BL68" i="1"/>
  <c r="BH68" i="1"/>
  <c r="BF68" i="1"/>
  <c r="BE68" i="1" s="1"/>
  <c r="BB68" i="1"/>
  <c r="AY68" i="1"/>
  <c r="AW68" i="1"/>
  <c r="AV68" i="1" s="1"/>
  <c r="AS68" i="1"/>
  <c r="AI68" i="1"/>
  <c r="AF68" i="1"/>
  <c r="AC68" i="1"/>
  <c r="Z68" i="1"/>
  <c r="AK68" i="1" s="1"/>
  <c r="AL68" i="1" s="1"/>
  <c r="X68" i="1"/>
  <c r="W68" i="1" s="1"/>
  <c r="T68" i="1"/>
  <c r="Q68" i="1"/>
  <c r="O68" i="1"/>
  <c r="N68" i="1" s="1"/>
  <c r="K68" i="1"/>
  <c r="I68" i="1"/>
  <c r="H68" i="1" s="1"/>
  <c r="E68" i="1"/>
  <c r="IA67" i="1"/>
  <c r="HS67" i="1"/>
  <c r="HP67" i="1"/>
  <c r="HL67" i="1"/>
  <c r="HK67" i="1" s="1"/>
  <c r="GU67" i="1"/>
  <c r="FP67" i="1"/>
  <c r="FK67" i="1"/>
  <c r="FC67" i="1"/>
  <c r="EW67" i="1"/>
  <c r="FA67" i="1" s="1"/>
  <c r="FA65" i="1" s="1"/>
  <c r="EZ65" i="1" s="1"/>
  <c r="ES67" i="1"/>
  <c r="EO67" i="1"/>
  <c r="EK67" i="1"/>
  <c r="EG67" i="1"/>
  <c r="EE67" i="1"/>
  <c r="DX67" i="1"/>
  <c r="DU67" i="1"/>
  <c r="DR67" i="1"/>
  <c r="DO67" i="1"/>
  <c r="DL67" i="1"/>
  <c r="DI67" i="1"/>
  <c r="DG67" i="1"/>
  <c r="DF67" i="1" s="1"/>
  <c r="CZ67" i="1"/>
  <c r="CW67" i="1"/>
  <c r="CT67" i="1"/>
  <c r="CQ67" i="1"/>
  <c r="CL67" i="1"/>
  <c r="CH67" i="1"/>
  <c r="CB67" i="1"/>
  <c r="CF67" i="1" s="1"/>
  <c r="BZ67" i="1"/>
  <c r="BY67" i="1" s="1"/>
  <c r="BV67" i="1"/>
  <c r="BT67" i="1"/>
  <c r="BS67" i="1" s="1"/>
  <c r="BL67" i="1"/>
  <c r="BH67" i="1"/>
  <c r="BF67" i="1"/>
  <c r="BE67" i="1" s="1"/>
  <c r="BB67" i="1"/>
  <c r="AY67" i="1"/>
  <c r="AW67" i="1"/>
  <c r="AV67" i="1" s="1"/>
  <c r="AS67" i="1"/>
  <c r="AI67" i="1"/>
  <c r="AF67" i="1"/>
  <c r="AC67" i="1"/>
  <c r="Z67" i="1"/>
  <c r="AK67" i="1" s="1"/>
  <c r="AL67" i="1" s="1"/>
  <c r="X67" i="1"/>
  <c r="W67" i="1" s="1"/>
  <c r="T67" i="1"/>
  <c r="Q67" i="1"/>
  <c r="O67" i="1"/>
  <c r="N67" i="1" s="1"/>
  <c r="K67" i="1"/>
  <c r="I67" i="1"/>
  <c r="E67" i="1"/>
  <c r="IB65" i="1"/>
  <c r="IA65" i="1" s="1"/>
  <c r="HT65" i="1"/>
  <c r="HS65" i="1" s="1"/>
  <c r="GV65" i="1"/>
  <c r="GU65" i="1" s="1"/>
  <c r="FN65" i="1"/>
  <c r="FL65" i="1"/>
  <c r="FJ65" i="1"/>
  <c r="EY65" i="1"/>
  <c r="EX65" i="1"/>
  <c r="ET65" i="1"/>
  <c r="ES65" i="1" s="1"/>
  <c r="ER65" i="1"/>
  <c r="EP65" i="1"/>
  <c r="EN65" i="1"/>
  <c r="EL65" i="1"/>
  <c r="EH65" i="1"/>
  <c r="EG65" i="1" s="1"/>
  <c r="DZ65" i="1"/>
  <c r="DY65" i="1"/>
  <c r="DV65" i="1"/>
  <c r="DU65" i="1" s="1"/>
  <c r="DT65" i="1"/>
  <c r="DQ65" i="1"/>
  <c r="DP65" i="1"/>
  <c r="DN65" i="1"/>
  <c r="DK65" i="1"/>
  <c r="DH65" i="1"/>
  <c r="DB65" i="1"/>
  <c r="DA65" i="1"/>
  <c r="CX65" i="1"/>
  <c r="CW65" i="1" s="1"/>
  <c r="CT65" i="1"/>
  <c r="CS65" i="1"/>
  <c r="CR65" i="1"/>
  <c r="CJ65" i="1"/>
  <c r="CI65" i="1"/>
  <c r="CD65" i="1"/>
  <c r="CC65" i="1"/>
  <c r="BX65" i="1"/>
  <c r="BW65" i="1"/>
  <c r="BU65" i="1"/>
  <c r="BJ65" i="1"/>
  <c r="BI65" i="1"/>
  <c r="BD65" i="1"/>
  <c r="BC65" i="1"/>
  <c r="BA65" i="1"/>
  <c r="AZ65" i="1"/>
  <c r="AU65" i="1"/>
  <c r="AT65" i="1"/>
  <c r="AJ65" i="1"/>
  <c r="AH65" i="1"/>
  <c r="AG65" i="1"/>
  <c r="AE65" i="1"/>
  <c r="AD65" i="1"/>
  <c r="AB65" i="1"/>
  <c r="AA65" i="1"/>
  <c r="V65" i="1"/>
  <c r="U65" i="1"/>
  <c r="S65" i="1"/>
  <c r="R65" i="1"/>
  <c r="M65" i="1"/>
  <c r="L65" i="1"/>
  <c r="G65" i="1"/>
  <c r="F65" i="1"/>
  <c r="IB64" i="1"/>
  <c r="IA64" i="1" s="1"/>
  <c r="HS64" i="1"/>
  <c r="HP64" i="1"/>
  <c r="HH64" i="1" s="1"/>
  <c r="HG64" i="1" s="1"/>
  <c r="GU64" i="1"/>
  <c r="FK64" i="1"/>
  <c r="FC64" i="1"/>
  <c r="EW64" i="1"/>
  <c r="ES64" i="1"/>
  <c r="EO64" i="1"/>
  <c r="EK64" i="1"/>
  <c r="EH64" i="1"/>
  <c r="EG64" i="1" s="1"/>
  <c r="DX64" i="1"/>
  <c r="DU64" i="1"/>
  <c r="DR64" i="1"/>
  <c r="DO64" i="1"/>
  <c r="DL64" i="1"/>
  <c r="DI64" i="1"/>
  <c r="DF64" i="1"/>
  <c r="CZ64" i="1"/>
  <c r="CW64" i="1"/>
  <c r="CT64" i="1"/>
  <c r="CQ64" i="1"/>
  <c r="CL64" i="1"/>
  <c r="CL59" i="1" s="1"/>
  <c r="CK59" i="1" s="1"/>
  <c r="CH64" i="1"/>
  <c r="CB64" i="1"/>
  <c r="CF64" i="1" s="1"/>
  <c r="BZ64" i="1"/>
  <c r="BZ59" i="1" s="1"/>
  <c r="BY59" i="1" s="1"/>
  <c r="BV64" i="1"/>
  <c r="BT64" i="1"/>
  <c r="BS64" i="1" s="1"/>
  <c r="BS59" i="1" s="1"/>
  <c r="BL64" i="1"/>
  <c r="BH64" i="1"/>
  <c r="BF64" i="1"/>
  <c r="BE64" i="1" s="1"/>
  <c r="BB64" i="1"/>
  <c r="AY64" i="1"/>
  <c r="AW64" i="1"/>
  <c r="AV64" i="1" s="1"/>
  <c r="AS64" i="1"/>
  <c r="AI64" i="1"/>
  <c r="AF64" i="1"/>
  <c r="AF59" i="1" s="1"/>
  <c r="AC64" i="1"/>
  <c r="AC59" i="1" s="1"/>
  <c r="Z64" i="1"/>
  <c r="AK64" i="1" s="1"/>
  <c r="AL64" i="1" s="1"/>
  <c r="X64" i="1"/>
  <c r="W64" i="1" s="1"/>
  <c r="T64" i="1"/>
  <c r="Q64" i="1"/>
  <c r="O64" i="1"/>
  <c r="N64" i="1" s="1"/>
  <c r="K64" i="1"/>
  <c r="I64" i="1"/>
  <c r="I59" i="1" s="1"/>
  <c r="H59" i="1" s="1"/>
  <c r="E64" i="1"/>
  <c r="IB63" i="1"/>
  <c r="HS63" i="1"/>
  <c r="HG63" i="1"/>
  <c r="GV63" i="1"/>
  <c r="GV243" i="1" s="1"/>
  <c r="GU243" i="1" s="1"/>
  <c r="ES63" i="1"/>
  <c r="EK63" i="1"/>
  <c r="EG63" i="1"/>
  <c r="IB62" i="1"/>
  <c r="IA62" i="1" s="1"/>
  <c r="HS62" i="1"/>
  <c r="HO62" i="1"/>
  <c r="HH62" i="1"/>
  <c r="HG62" i="1" s="1"/>
  <c r="GU62" i="1"/>
  <c r="FO62" i="1"/>
  <c r="FH62" i="1"/>
  <c r="FG62" i="1" s="1"/>
  <c r="FC62" i="1"/>
  <c r="ES62" i="1"/>
  <c r="EK62" i="1"/>
  <c r="EG62" i="1"/>
  <c r="HT61" i="1"/>
  <c r="HS61" i="1" s="1"/>
  <c r="HG61" i="1"/>
  <c r="ET61" i="1"/>
  <c r="ET59" i="1" s="1"/>
  <c r="ES59" i="1" s="1"/>
  <c r="EL61" i="1"/>
  <c r="EK61" i="1" s="1"/>
  <c r="IA60" i="1"/>
  <c r="HX60" i="1"/>
  <c r="HW60" i="1" s="1"/>
  <c r="HS60" i="1"/>
  <c r="HO60" i="1"/>
  <c r="HG60" i="1"/>
  <c r="GU60" i="1"/>
  <c r="FO60" i="1"/>
  <c r="FH60" i="1"/>
  <c r="FG60" i="1" s="1"/>
  <c r="FC60" i="1"/>
  <c r="ES60" i="1"/>
  <c r="EK60" i="1"/>
  <c r="EG60" i="1"/>
  <c r="HL59" i="1"/>
  <c r="HK59" i="1" s="1"/>
  <c r="HH59" i="1"/>
  <c r="HG59" i="1" s="1"/>
  <c r="FN59" i="1"/>
  <c r="FM59" i="1"/>
  <c r="FL59" i="1"/>
  <c r="FJ59" i="1"/>
  <c r="FA59" i="1"/>
  <c r="EZ59" i="1" s="1"/>
  <c r="EY59" i="1"/>
  <c r="EX59" i="1"/>
  <c r="ER59" i="1"/>
  <c r="EQ59" i="1"/>
  <c r="EP59" i="1"/>
  <c r="EN59" i="1"/>
  <c r="EM59" i="1"/>
  <c r="EE59" i="1"/>
  <c r="ED59" i="1" s="1"/>
  <c r="DZ59" i="1"/>
  <c r="DY59" i="1"/>
  <c r="DV59" i="1"/>
  <c r="DU59" i="1" s="1"/>
  <c r="DT59" i="1"/>
  <c r="DS59" i="1"/>
  <c r="DQ59" i="1"/>
  <c r="DP59" i="1"/>
  <c r="DN59" i="1"/>
  <c r="DM59" i="1"/>
  <c r="DK59" i="1"/>
  <c r="DJ59" i="1"/>
  <c r="DH59" i="1"/>
  <c r="DG59" i="1"/>
  <c r="DB59" i="1"/>
  <c r="DA59" i="1"/>
  <c r="CX59" i="1"/>
  <c r="CW59" i="1" s="1"/>
  <c r="CT59" i="1"/>
  <c r="CS59" i="1"/>
  <c r="CR59" i="1"/>
  <c r="CJ59" i="1"/>
  <c r="CI59" i="1"/>
  <c r="CD59" i="1"/>
  <c r="CC59" i="1"/>
  <c r="BX59" i="1"/>
  <c r="BW59" i="1"/>
  <c r="BU59" i="1"/>
  <c r="BJ59" i="1"/>
  <c r="BI59" i="1"/>
  <c r="BD59" i="1"/>
  <c r="BC59" i="1"/>
  <c r="BA59" i="1"/>
  <c r="AZ59" i="1"/>
  <c r="BL59" i="1" s="1"/>
  <c r="AU59" i="1"/>
  <c r="AT59" i="1"/>
  <c r="AJ59" i="1"/>
  <c r="AH59" i="1"/>
  <c r="AG59" i="1"/>
  <c r="AE59" i="1"/>
  <c r="AD59" i="1"/>
  <c r="AB59" i="1"/>
  <c r="AA59" i="1"/>
  <c r="V59" i="1"/>
  <c r="U59" i="1"/>
  <c r="S59" i="1"/>
  <c r="R59" i="1"/>
  <c r="M59" i="1"/>
  <c r="L59" i="1"/>
  <c r="G59" i="1"/>
  <c r="F59" i="1"/>
  <c r="IA57" i="1"/>
  <c r="HS57" i="1"/>
  <c r="HO57" i="1"/>
  <c r="HH57" i="1"/>
  <c r="HG57" i="1" s="1"/>
  <c r="GU57" i="1"/>
  <c r="FO57" i="1"/>
  <c r="FH57" i="1"/>
  <c r="FG57" i="1" s="1"/>
  <c r="FC57" i="1"/>
  <c r="ES57" i="1"/>
  <c r="EK57" i="1"/>
  <c r="EG57" i="1"/>
  <c r="ET56" i="1"/>
  <c r="DP56" i="1"/>
  <c r="DO56" i="1" s="1"/>
  <c r="DL56" i="1"/>
  <c r="DI56" i="1"/>
  <c r="DG56" i="1"/>
  <c r="DF56" i="1" s="1"/>
  <c r="CW56" i="1"/>
  <c r="CF56" i="1"/>
  <c r="BL56" i="1"/>
  <c r="AG56" i="1"/>
  <c r="AF56" i="1" s="1"/>
  <c r="AR56" i="1" s="1"/>
  <c r="AR51" i="1" s="1"/>
  <c r="AA56" i="1"/>
  <c r="Z56" i="1" s="1"/>
  <c r="ET55" i="1"/>
  <c r="DS55" i="1"/>
  <c r="DR55" i="1" s="1"/>
  <c r="DO55" i="1"/>
  <c r="DL55" i="1"/>
  <c r="DI55" i="1"/>
  <c r="DG55" i="1"/>
  <c r="DF55" i="1" s="1"/>
  <c r="CW55" i="1"/>
  <c r="IA54" i="1"/>
  <c r="HW54" i="1"/>
  <c r="HS54" i="1"/>
  <c r="HO54" i="1"/>
  <c r="HK54" i="1"/>
  <c r="HG54" i="1"/>
  <c r="GU54" i="1"/>
  <c r="FO54" i="1"/>
  <c r="FK54" i="1"/>
  <c r="FG54" i="1"/>
  <c r="FC54" i="1"/>
  <c r="FA54" i="1"/>
  <c r="EZ54" i="1" s="1"/>
  <c r="EW54" i="1"/>
  <c r="ET54" i="1"/>
  <c r="ES54" i="1" s="1"/>
  <c r="EO54" i="1"/>
  <c r="EK54" i="1"/>
  <c r="EG54" i="1"/>
  <c r="EE54" i="1"/>
  <c r="ED54" i="1" s="1"/>
  <c r="DX54" i="1"/>
  <c r="DU54" i="1"/>
  <c r="DS54" i="1"/>
  <c r="DR54" i="1" s="1"/>
  <c r="DO54" i="1"/>
  <c r="DL54" i="1"/>
  <c r="DI54" i="1"/>
  <c r="DG54" i="1"/>
  <c r="DF54" i="1" s="1"/>
  <c r="CZ54" i="1"/>
  <c r="CW54" i="1"/>
  <c r="CT54" i="1"/>
  <c r="CQ54" i="1"/>
  <c r="CL54" i="1"/>
  <c r="CK54" i="1" s="1"/>
  <c r="CH54" i="1"/>
  <c r="CB54" i="1"/>
  <c r="CF54" i="1" s="1"/>
  <c r="BZ54" i="1"/>
  <c r="BY54" i="1" s="1"/>
  <c r="BV54" i="1"/>
  <c r="BL54" i="1"/>
  <c r="BH54" i="1"/>
  <c r="BF54" i="1"/>
  <c r="BE54" i="1" s="1"/>
  <c r="BB54" i="1"/>
  <c r="AY54" i="1"/>
  <c r="AW54" i="1"/>
  <c r="AV54" i="1" s="1"/>
  <c r="AS54" i="1"/>
  <c r="AG54" i="1"/>
  <c r="AF54" i="1" s="1"/>
  <c r="AD54" i="1"/>
  <c r="AC54" i="1" s="1"/>
  <c r="AA54" i="1"/>
  <c r="AI54" i="1" s="1"/>
  <c r="T54" i="1"/>
  <c r="Q54" i="1"/>
  <c r="O54" i="1"/>
  <c r="N54" i="1" s="1"/>
  <c r="K54" i="1"/>
  <c r="I54" i="1"/>
  <c r="H54" i="1" s="1"/>
  <c r="E54" i="1"/>
  <c r="IA53" i="1"/>
  <c r="HW53" i="1"/>
  <c r="HS53" i="1"/>
  <c r="HO53" i="1"/>
  <c r="HK53" i="1"/>
  <c r="HG53" i="1"/>
  <c r="GU53" i="1"/>
  <c r="FO53" i="1"/>
  <c r="FK53" i="1"/>
  <c r="FG53" i="1"/>
  <c r="FC53" i="1"/>
  <c r="FA53" i="1"/>
  <c r="EZ53" i="1" s="1"/>
  <c r="EW53" i="1"/>
  <c r="ET53" i="1"/>
  <c r="EO53" i="1"/>
  <c r="EK53" i="1"/>
  <c r="EG53" i="1"/>
  <c r="EE53" i="1"/>
  <c r="ED53" i="1" s="1"/>
  <c r="DX53" i="1"/>
  <c r="DU53" i="1"/>
  <c r="DO53" i="1"/>
  <c r="DM53" i="1"/>
  <c r="DL53" i="1" s="1"/>
  <c r="DI53" i="1"/>
  <c r="DG53" i="1"/>
  <c r="DF53" i="1" s="1"/>
  <c r="CZ53" i="1"/>
  <c r="CW53" i="1"/>
  <c r="CT53" i="1"/>
  <c r="CQ53" i="1"/>
  <c r="CL53" i="1"/>
  <c r="CH53" i="1"/>
  <c r="CB53" i="1"/>
  <c r="CF53" i="1" s="1"/>
  <c r="BZ53" i="1"/>
  <c r="BY53" i="1" s="1"/>
  <c r="BV53" i="1"/>
  <c r="BT53" i="1"/>
  <c r="BS53" i="1" s="1"/>
  <c r="BS51" i="1" s="1"/>
  <c r="BL53" i="1"/>
  <c r="BH53" i="1"/>
  <c r="BF53" i="1"/>
  <c r="BE53" i="1" s="1"/>
  <c r="BB53" i="1"/>
  <c r="AY53" i="1"/>
  <c r="AW53" i="1"/>
  <c r="AV53" i="1" s="1"/>
  <c r="AS53" i="1"/>
  <c r="AG53" i="1"/>
  <c r="AF53" i="1" s="1"/>
  <c r="AL53" i="1" s="1"/>
  <c r="AD53" i="1"/>
  <c r="AC53" i="1" s="1"/>
  <c r="AA53" i="1"/>
  <c r="X53" i="1" s="1"/>
  <c r="W53" i="1" s="1"/>
  <c r="T53" i="1"/>
  <c r="R53" i="1"/>
  <c r="K53" i="1"/>
  <c r="I53" i="1"/>
  <c r="E53" i="1"/>
  <c r="FP52" i="1"/>
  <c r="FP51" i="1" s="1"/>
  <c r="FO51" i="1" s="1"/>
  <c r="EH52" i="1"/>
  <c r="EH51" i="1" s="1"/>
  <c r="EG51" i="1" s="1"/>
  <c r="IB51" i="1"/>
  <c r="IA51" i="1" s="1"/>
  <c r="HX51" i="1"/>
  <c r="HW51" i="1" s="1"/>
  <c r="HT51" i="1"/>
  <c r="HS51" i="1" s="1"/>
  <c r="HP51" i="1"/>
  <c r="HO51" i="1" s="1"/>
  <c r="HL51" i="1"/>
  <c r="HK51" i="1" s="1"/>
  <c r="GV51" i="1"/>
  <c r="GU51" i="1" s="1"/>
  <c r="FL51" i="1"/>
  <c r="FD51" i="1"/>
  <c r="EY51" i="1"/>
  <c r="EY191" i="1" s="1"/>
  <c r="EX51" i="1"/>
  <c r="EP51" i="1"/>
  <c r="EP191" i="1" s="1"/>
  <c r="EL51" i="1"/>
  <c r="EK51" i="1" s="1"/>
  <c r="DZ51" i="1"/>
  <c r="DZ191" i="1" s="1"/>
  <c r="DY51" i="1"/>
  <c r="DY191" i="1" s="1"/>
  <c r="DV51" i="1"/>
  <c r="DU51" i="1" s="1"/>
  <c r="DJ51" i="1"/>
  <c r="DI51" i="1" s="1"/>
  <c r="DB51" i="1"/>
  <c r="DB191" i="1" s="1"/>
  <c r="DA51" i="1"/>
  <c r="CX51" i="1"/>
  <c r="CW51" i="1" s="1"/>
  <c r="CT51" i="1"/>
  <c r="CS51" i="1"/>
  <c r="CR51" i="1"/>
  <c r="CJ51" i="1"/>
  <c r="CI51" i="1"/>
  <c r="CD51" i="1"/>
  <c r="CC51" i="1"/>
  <c r="BX51" i="1"/>
  <c r="BW51" i="1"/>
  <c r="BU51" i="1"/>
  <c r="BJ51" i="1"/>
  <c r="BI51" i="1"/>
  <c r="BD51" i="1"/>
  <c r="BC51" i="1"/>
  <c r="BA51" i="1"/>
  <c r="AZ51" i="1"/>
  <c r="AU51" i="1"/>
  <c r="AT51" i="1"/>
  <c r="AJ51" i="1"/>
  <c r="AH51" i="1"/>
  <c r="AE51" i="1"/>
  <c r="AB51" i="1"/>
  <c r="V51" i="1"/>
  <c r="V211" i="1" s="1"/>
  <c r="U51" i="1"/>
  <c r="U211" i="1" s="1"/>
  <c r="S51" i="1"/>
  <c r="S211" i="1" s="1"/>
  <c r="M51" i="1"/>
  <c r="M211" i="1" s="1"/>
  <c r="L51" i="1"/>
  <c r="G51" i="1"/>
  <c r="G211" i="1" s="1"/>
  <c r="F51" i="1"/>
  <c r="IA48" i="1"/>
  <c r="HX48" i="1"/>
  <c r="HW48" i="1" s="1"/>
  <c r="HS48" i="1"/>
  <c r="HO48" i="1"/>
  <c r="HH48" i="1"/>
  <c r="HG48" i="1" s="1"/>
  <c r="GU48" i="1"/>
  <c r="FO48" i="1"/>
  <c r="FH48" i="1"/>
  <c r="FC48" i="1"/>
  <c r="ES48" i="1"/>
  <c r="EK48" i="1"/>
  <c r="EG48" i="1"/>
  <c r="IB47" i="1"/>
  <c r="IA47" i="1" s="1"/>
  <c r="HS47" i="1"/>
  <c r="HP47" i="1"/>
  <c r="HO47" i="1" s="1"/>
  <c r="GU47" i="1"/>
  <c r="FP47" i="1"/>
  <c r="FO47" i="1" s="1"/>
  <c r="FK47" i="1"/>
  <c r="FC47" i="1"/>
  <c r="EZ47" i="1"/>
  <c r="EW47" i="1"/>
  <c r="ES47" i="1"/>
  <c r="EO47" i="1"/>
  <c r="EL47" i="1"/>
  <c r="EK47" i="1" s="1"/>
  <c r="EG47" i="1"/>
  <c r="ED47" i="1"/>
  <c r="DX47" i="1"/>
  <c r="DU47" i="1"/>
  <c r="DS47" i="1"/>
  <c r="DR47" i="1" s="1"/>
  <c r="DO47" i="1"/>
  <c r="DL47" i="1"/>
  <c r="DI47" i="1"/>
  <c r="DG47" i="1"/>
  <c r="DF47" i="1" s="1"/>
  <c r="CZ47" i="1"/>
  <c r="CW47" i="1"/>
  <c r="CT47" i="1"/>
  <c r="CQ47" i="1"/>
  <c r="CK47" i="1"/>
  <c r="CH47" i="1"/>
  <c r="CB47" i="1"/>
  <c r="CF47" i="1" s="1"/>
  <c r="BZ47" i="1"/>
  <c r="BY47" i="1" s="1"/>
  <c r="BV47" i="1"/>
  <c r="BL47" i="1"/>
  <c r="BH47" i="1"/>
  <c r="BF47" i="1"/>
  <c r="BE47" i="1" s="1"/>
  <c r="BB47" i="1"/>
  <c r="AY47" i="1"/>
  <c r="AV47" i="1"/>
  <c r="AS47" i="1"/>
  <c r="AF47" i="1"/>
  <c r="AR47" i="1" s="1"/>
  <c r="AR44" i="1" s="1"/>
  <c r="AA47" i="1"/>
  <c r="AJ47" i="1" s="1"/>
  <c r="T47" i="1"/>
  <c r="R47" i="1"/>
  <c r="O47" i="1" s="1"/>
  <c r="N47" i="1" s="1"/>
  <c r="K47" i="1"/>
  <c r="I47" i="1"/>
  <c r="H47" i="1" s="1"/>
  <c r="E47" i="1"/>
  <c r="IB46" i="1"/>
  <c r="IA46" i="1" s="1"/>
  <c r="HS46" i="1"/>
  <c r="HO46" i="1"/>
  <c r="HL46" i="1"/>
  <c r="HL44" i="1" s="1"/>
  <c r="HK44" i="1" s="1"/>
  <c r="HH46" i="1"/>
  <c r="HG46" i="1" s="1"/>
  <c r="GU46" i="1"/>
  <c r="FO46" i="1"/>
  <c r="FK46" i="1"/>
  <c r="FH46" i="1"/>
  <c r="FG46" i="1" s="1"/>
  <c r="FC46" i="1"/>
  <c r="FA46" i="1"/>
  <c r="EZ46" i="1" s="1"/>
  <c r="EW46" i="1"/>
  <c r="ES46" i="1"/>
  <c r="EO46" i="1"/>
  <c r="EK46" i="1"/>
  <c r="EG46" i="1"/>
  <c r="EE46" i="1"/>
  <c r="EE44" i="1" s="1"/>
  <c r="DX46" i="1"/>
  <c r="DU46" i="1"/>
  <c r="DO46" i="1"/>
  <c r="DL46" i="1"/>
  <c r="DJ46" i="1"/>
  <c r="DI46" i="1" s="1"/>
  <c r="CZ46" i="1"/>
  <c r="CW46" i="1"/>
  <c r="CT46" i="1"/>
  <c r="CQ46" i="1"/>
  <c r="CL46" i="1"/>
  <c r="CK46" i="1" s="1"/>
  <c r="CH46" i="1"/>
  <c r="CB46" i="1"/>
  <c r="CF46" i="1" s="1"/>
  <c r="BZ46" i="1"/>
  <c r="BY46" i="1" s="1"/>
  <c r="BV46" i="1"/>
  <c r="BT46" i="1"/>
  <c r="BT44" i="1" s="1"/>
  <c r="BL46" i="1"/>
  <c r="BH46" i="1"/>
  <c r="BF46" i="1"/>
  <c r="BE46" i="1" s="1"/>
  <c r="BB46" i="1"/>
  <c r="AY46" i="1"/>
  <c r="AW46" i="1"/>
  <c r="AV46" i="1" s="1"/>
  <c r="AS46" i="1"/>
  <c r="AG46" i="1"/>
  <c r="AF46" i="1" s="1"/>
  <c r="AL46" i="1" s="1"/>
  <c r="AD46" i="1"/>
  <c r="AC46" i="1" s="1"/>
  <c r="AA46" i="1"/>
  <c r="T46" i="1"/>
  <c r="Q46" i="1"/>
  <c r="O46" i="1"/>
  <c r="N46" i="1" s="1"/>
  <c r="K46" i="1"/>
  <c r="I46" i="1"/>
  <c r="H46" i="1" s="1"/>
  <c r="E46" i="1"/>
  <c r="HT45" i="1"/>
  <c r="HS45" i="1" s="1"/>
  <c r="GV45" i="1"/>
  <c r="GU45" i="1" s="1"/>
  <c r="FD45" i="1"/>
  <c r="FC45" i="1" s="1"/>
  <c r="FT45" i="1" s="1"/>
  <c r="ET45" i="1"/>
  <c r="ES45" i="1" s="1"/>
  <c r="EH45" i="1"/>
  <c r="FN44" i="1"/>
  <c r="FM44" i="1"/>
  <c r="FL44" i="1"/>
  <c r="EY44" i="1"/>
  <c r="EX44" i="1"/>
  <c r="ER44" i="1"/>
  <c r="EQ44" i="1"/>
  <c r="EP44" i="1"/>
  <c r="EN44" i="1"/>
  <c r="EM44" i="1"/>
  <c r="DZ44" i="1"/>
  <c r="DY44" i="1"/>
  <c r="DW44" i="1"/>
  <c r="DW35" i="1" s="1"/>
  <c r="DW31" i="1" s="1"/>
  <c r="DV44" i="1"/>
  <c r="DP44" i="1"/>
  <c r="DO44" i="1" s="1"/>
  <c r="DM44" i="1"/>
  <c r="DL44" i="1" s="1"/>
  <c r="DB44" i="1"/>
  <c r="DA44" i="1"/>
  <c r="CX44" i="1"/>
  <c r="CW44" i="1" s="1"/>
  <c r="CT44" i="1"/>
  <c r="CS44" i="1"/>
  <c r="CR44" i="1"/>
  <c r="CJ44" i="1"/>
  <c r="CI44" i="1"/>
  <c r="CD44" i="1"/>
  <c r="CC44" i="1"/>
  <c r="BX44" i="1"/>
  <c r="BW44" i="1"/>
  <c r="BU44" i="1"/>
  <c r="BJ44" i="1"/>
  <c r="BI44" i="1"/>
  <c r="BD44" i="1"/>
  <c r="BC44" i="1"/>
  <c r="BA44" i="1"/>
  <c r="AZ44" i="1"/>
  <c r="BL44" i="1" s="1"/>
  <c r="AU44" i="1"/>
  <c r="AT44" i="1"/>
  <c r="AQ44" i="1"/>
  <c r="AP44" i="1"/>
  <c r="AH44" i="1"/>
  <c r="AE44" i="1"/>
  <c r="AB44" i="1"/>
  <c r="V44" i="1"/>
  <c r="U44" i="1"/>
  <c r="S44" i="1"/>
  <c r="M44" i="1"/>
  <c r="L44" i="1"/>
  <c r="G44" i="1"/>
  <c r="F44" i="1"/>
  <c r="FO42" i="1"/>
  <c r="FK42" i="1"/>
  <c r="FH42" i="1"/>
  <c r="FG42" i="1" s="1"/>
  <c r="FC42" i="1"/>
  <c r="EW42" i="1"/>
  <c r="ES42" i="1"/>
  <c r="EO42" i="1"/>
  <c r="EL42" i="1"/>
  <c r="EK42" i="1" s="1"/>
  <c r="DX42" i="1"/>
  <c r="DU42" i="1"/>
  <c r="DO42" i="1"/>
  <c r="DM42" i="1"/>
  <c r="DM40" i="1" s="1"/>
  <c r="DL40" i="1" s="1"/>
  <c r="DI42" i="1"/>
  <c r="DG42" i="1"/>
  <c r="DF42" i="1" s="1"/>
  <c r="CZ42" i="1"/>
  <c r="CW42" i="1"/>
  <c r="CT42" i="1"/>
  <c r="CQ42" i="1"/>
  <c r="CL42" i="1"/>
  <c r="CK42" i="1" s="1"/>
  <c r="CH42" i="1"/>
  <c r="CB42" i="1"/>
  <c r="CF42" i="1" s="1"/>
  <c r="BZ42" i="1"/>
  <c r="BY42" i="1" s="1"/>
  <c r="BV42" i="1"/>
  <c r="BI42" i="1"/>
  <c r="BH42" i="1" s="1"/>
  <c r="BF42" i="1"/>
  <c r="BE42" i="1" s="1"/>
  <c r="BB42" i="1"/>
  <c r="AZ42" i="1"/>
  <c r="AY42" i="1" s="1"/>
  <c r="AS42" i="1"/>
  <c r="AJ42" i="1"/>
  <c r="AJ40" i="1" s="1"/>
  <c r="AF42" i="1"/>
  <c r="AR42" i="1" s="1"/>
  <c r="AR40" i="1" s="1"/>
  <c r="AC42" i="1"/>
  <c r="Z42" i="1"/>
  <c r="X42" i="1"/>
  <c r="W42" i="1" s="1"/>
  <c r="T42" i="1"/>
  <c r="Q42" i="1"/>
  <c r="O42" i="1"/>
  <c r="N42" i="1" s="1"/>
  <c r="K42" i="1"/>
  <c r="I42" i="1"/>
  <c r="H42" i="1" s="1"/>
  <c r="E42" i="1"/>
  <c r="IA41" i="1"/>
  <c r="HS41" i="1"/>
  <c r="HO41" i="1"/>
  <c r="HL41" i="1"/>
  <c r="HX41" i="1" s="1"/>
  <c r="HH41" i="1"/>
  <c r="HG41" i="1" s="1"/>
  <c r="GU41" i="1"/>
  <c r="FK41" i="1"/>
  <c r="EW41" i="1"/>
  <c r="ES41" i="1"/>
  <c r="EO41" i="1"/>
  <c r="EH41" i="1"/>
  <c r="EL41" i="1" s="1"/>
  <c r="DX41" i="1"/>
  <c r="DU41" i="1"/>
  <c r="DR41" i="1"/>
  <c r="DO41" i="1"/>
  <c r="DL41" i="1"/>
  <c r="DI41" i="1"/>
  <c r="DG41" i="1"/>
  <c r="DF41" i="1" s="1"/>
  <c r="CZ41" i="1"/>
  <c r="CW41" i="1"/>
  <c r="CT41" i="1"/>
  <c r="CQ41" i="1"/>
  <c r="CL41" i="1"/>
  <c r="CH41" i="1"/>
  <c r="CB41" i="1"/>
  <c r="CF41" i="1" s="1"/>
  <c r="BZ41" i="1"/>
  <c r="BY41" i="1" s="1"/>
  <c r="BV41" i="1"/>
  <c r="BT41" i="1"/>
  <c r="BS41" i="1" s="1"/>
  <c r="BS40" i="1" s="1"/>
  <c r="BM41" i="1"/>
  <c r="BM40" i="1" s="1"/>
  <c r="BL41" i="1"/>
  <c r="BH41" i="1"/>
  <c r="BF41" i="1"/>
  <c r="BE41" i="1" s="1"/>
  <c r="BB41" i="1"/>
  <c r="AY41" i="1"/>
  <c r="AW41" i="1"/>
  <c r="AV41" i="1" s="1"/>
  <c r="AS41" i="1"/>
  <c r="AI41" i="1"/>
  <c r="AF41" i="1"/>
  <c r="AC41" i="1"/>
  <c r="Z41" i="1"/>
  <c r="AK41" i="1" s="1"/>
  <c r="AL41" i="1" s="1"/>
  <c r="X41" i="1"/>
  <c r="W41" i="1" s="1"/>
  <c r="T41" i="1"/>
  <c r="Q41" i="1"/>
  <c r="O41" i="1"/>
  <c r="N41" i="1" s="1"/>
  <c r="K41" i="1"/>
  <c r="I41" i="1"/>
  <c r="H41" i="1" s="1"/>
  <c r="E41" i="1"/>
  <c r="IB40" i="1"/>
  <c r="IA40" i="1" s="1"/>
  <c r="HT40" i="1"/>
  <c r="HP40" i="1"/>
  <c r="GV40" i="1"/>
  <c r="FN40" i="1"/>
  <c r="FM40" i="1"/>
  <c r="FL40" i="1"/>
  <c r="EY40" i="1"/>
  <c r="EX40" i="1"/>
  <c r="EV40" i="1"/>
  <c r="EV35" i="1" s="1"/>
  <c r="EV31" i="1" s="1"/>
  <c r="EU40" i="1"/>
  <c r="ET40" i="1"/>
  <c r="ER40" i="1"/>
  <c r="EQ40" i="1"/>
  <c r="EP40" i="1"/>
  <c r="EN40" i="1"/>
  <c r="EM40" i="1"/>
  <c r="DZ40" i="1"/>
  <c r="DY40" i="1"/>
  <c r="DV40" i="1"/>
  <c r="DU40" i="1" s="1"/>
  <c r="DP40" i="1"/>
  <c r="DO40" i="1" s="1"/>
  <c r="DJ40" i="1"/>
  <c r="DI40" i="1" s="1"/>
  <c r="DB40" i="1"/>
  <c r="DA40" i="1"/>
  <c r="CX40" i="1"/>
  <c r="CW40" i="1" s="1"/>
  <c r="CT40" i="1"/>
  <c r="CS40" i="1"/>
  <c r="CR40" i="1"/>
  <c r="CJ40" i="1"/>
  <c r="CI40" i="1"/>
  <c r="CD40" i="1"/>
  <c r="CC40" i="1"/>
  <c r="BX40" i="1"/>
  <c r="BW40" i="1"/>
  <c r="BU40" i="1"/>
  <c r="BR40" i="1"/>
  <c r="BQ40" i="1"/>
  <c r="BP40" i="1"/>
  <c r="BO40" i="1"/>
  <c r="BN40" i="1"/>
  <c r="BJ40" i="1"/>
  <c r="BD40" i="1"/>
  <c r="BC40" i="1"/>
  <c r="BA40" i="1"/>
  <c r="AU40" i="1"/>
  <c r="AT40" i="1"/>
  <c r="AQ40" i="1"/>
  <c r="AP40" i="1"/>
  <c r="AH40" i="1"/>
  <c r="AG40" i="1"/>
  <c r="AE40" i="1"/>
  <c r="AD40" i="1"/>
  <c r="AB40" i="1"/>
  <c r="AA40" i="1"/>
  <c r="V40" i="1"/>
  <c r="U40" i="1"/>
  <c r="S40" i="1"/>
  <c r="R40" i="1"/>
  <c r="M40" i="1"/>
  <c r="L40" i="1"/>
  <c r="G40" i="1"/>
  <c r="F40" i="1"/>
  <c r="IB37" i="1"/>
  <c r="IA37" i="1" s="1"/>
  <c r="HT37" i="1"/>
  <c r="HP37" i="1"/>
  <c r="HO37" i="1" s="1"/>
  <c r="HL37" i="1"/>
  <c r="GV37" i="1"/>
  <c r="GU37" i="1" s="1"/>
  <c r="FP37" i="1"/>
  <c r="FC37" i="1"/>
  <c r="ET37" i="1"/>
  <c r="ES37" i="1" s="1"/>
  <c r="EL37" i="1"/>
  <c r="EK37" i="1" s="1"/>
  <c r="EH37" i="1"/>
  <c r="EG37" i="1" s="1"/>
  <c r="ID35" i="1"/>
  <c r="HZ35" i="1"/>
  <c r="HV35" i="1"/>
  <c r="HR35" i="1"/>
  <c r="HN35" i="1"/>
  <c r="HJ35" i="1"/>
  <c r="GX35" i="1"/>
  <c r="FR35" i="1"/>
  <c r="FF35" i="1"/>
  <c r="FB35" i="1"/>
  <c r="EJ35" i="1"/>
  <c r="EF35" i="1"/>
  <c r="EF31" i="1" s="1"/>
  <c r="EC35" i="1"/>
  <c r="EC31" i="1" s="1"/>
  <c r="EB35" i="1"/>
  <c r="EB31" i="1" s="1"/>
  <c r="EA35" i="1"/>
  <c r="EA31" i="1" s="1"/>
  <c r="DE35" i="1"/>
  <c r="DE31" i="1" s="1"/>
  <c r="DD35" i="1"/>
  <c r="DD31" i="1" s="1"/>
  <c r="DC35" i="1"/>
  <c r="DC31" i="1" s="1"/>
  <c r="CY35" i="1"/>
  <c r="CV35" i="1"/>
  <c r="CU35" i="1"/>
  <c r="CP35" i="1"/>
  <c r="CO35" i="1"/>
  <c r="CN35" i="1"/>
  <c r="CM35" i="1"/>
  <c r="CG35" i="1"/>
  <c r="CE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P31" i="1" s="1"/>
  <c r="AP207" i="1" s="1"/>
  <c r="AN35" i="1"/>
  <c r="AM35" i="1"/>
  <c r="AL35" i="1"/>
  <c r="AK35" i="1"/>
  <c r="AK31" i="1" s="1"/>
  <c r="AJ35" i="1"/>
  <c r="AI35" i="1"/>
  <c r="AH35" i="1"/>
  <c r="AG35" i="1"/>
  <c r="AG31" i="1" s="1"/>
  <c r="AG207" i="1" s="1"/>
  <c r="AF35" i="1"/>
  <c r="AE35" i="1"/>
  <c r="AD35" i="1"/>
  <c r="AC35" i="1"/>
  <c r="AC31" i="1" s="1"/>
  <c r="AB35" i="1"/>
  <c r="AA35" i="1"/>
  <c r="Z35" i="1"/>
  <c r="Y35" i="1"/>
  <c r="X35" i="1"/>
  <c r="V35" i="1"/>
  <c r="U35" i="1"/>
  <c r="S35" i="1"/>
  <c r="R35" i="1"/>
  <c r="P35" i="1"/>
  <c r="O35" i="1"/>
  <c r="M35" i="1"/>
  <c r="L35" i="1"/>
  <c r="J35" i="1"/>
  <c r="I35" i="1"/>
  <c r="G35" i="1"/>
  <c r="F35" i="1"/>
  <c r="G31" i="1"/>
  <c r="G207" i="1" s="1"/>
  <c r="R31" i="1"/>
  <c r="P31" i="1"/>
  <c r="S31" i="1"/>
  <c r="M31" i="1"/>
  <c r="M207" i="1" s="1"/>
  <c r="I31" i="1"/>
  <c r="CP29" i="1"/>
  <c r="CO29" i="1"/>
  <c r="CN29" i="1"/>
  <c r="BF29" i="1"/>
  <c r="BC29" i="1"/>
  <c r="CP25" i="1"/>
  <c r="CO25" i="1"/>
  <c r="CN25" i="1"/>
  <c r="ID23" i="1"/>
  <c r="IC23" i="1"/>
  <c r="HZ23" i="1"/>
  <c r="HY23" i="1"/>
  <c r="HV23" i="1"/>
  <c r="HU23" i="1"/>
  <c r="HR23" i="1"/>
  <c r="HQ23" i="1"/>
  <c r="HN23" i="1"/>
  <c r="HM23" i="1"/>
  <c r="HJ23" i="1"/>
  <c r="HI23" i="1"/>
  <c r="HF23" i="1"/>
  <c r="HE23" i="1"/>
  <c r="HD23" i="1"/>
  <c r="HC23" i="1"/>
  <c r="HB23" i="1"/>
  <c r="HA23" i="1"/>
  <c r="GZ23" i="1"/>
  <c r="GY23" i="1"/>
  <c r="GX23" i="1"/>
  <c r="GW23" i="1"/>
  <c r="FR23" i="1"/>
  <c r="FQ23" i="1"/>
  <c r="FJ23" i="1"/>
  <c r="FI23" i="1"/>
  <c r="FF23" i="1"/>
  <c r="FE23" i="1"/>
  <c r="FB23" i="1"/>
  <c r="EY23" i="1"/>
  <c r="ET23" i="1"/>
  <c r="EJ23" i="1"/>
  <c r="EI23" i="1"/>
  <c r="EF23" i="1"/>
  <c r="EC23" i="1"/>
  <c r="EB23" i="1"/>
  <c r="EA23" i="1"/>
  <c r="DZ23" i="1"/>
  <c r="DY23" i="1"/>
  <c r="DX23" i="1"/>
  <c r="DW23" i="1"/>
  <c r="DV23" i="1"/>
  <c r="DU23" i="1"/>
  <c r="DT23" i="1"/>
  <c r="DS23" i="1"/>
  <c r="DR23" i="1"/>
  <c r="DQ23" i="1"/>
  <c r="DP23" i="1"/>
  <c r="DO23" i="1"/>
  <c r="DN23" i="1"/>
  <c r="DM23" i="1"/>
  <c r="DL23" i="1"/>
  <c r="DK23" i="1"/>
  <c r="DH23" i="1"/>
  <c r="DE23" i="1"/>
  <c r="DD23" i="1"/>
  <c r="DC23" i="1"/>
  <c r="DB23" i="1"/>
  <c r="DA23" i="1"/>
  <c r="CZ23" i="1"/>
  <c r="CY23" i="1"/>
  <c r="CX23" i="1"/>
  <c r="FR22" i="1"/>
  <c r="FJ22" i="1"/>
  <c r="FI22" i="1"/>
  <c r="FH22" i="1"/>
  <c r="EJ22" i="1"/>
  <c r="DT22" i="1"/>
  <c r="DS22" i="1"/>
  <c r="DR22" i="1"/>
  <c r="DQ22" i="1"/>
  <c r="DP22" i="1"/>
  <c r="DO22" i="1"/>
  <c r="DN22" i="1"/>
  <c r="DM22" i="1"/>
  <c r="DL22" i="1"/>
  <c r="DK22" i="1"/>
  <c r="DH22" i="1"/>
  <c r="DE22" i="1"/>
  <c r="DD22" i="1"/>
  <c r="DC22" i="1"/>
  <c r="DB22" i="1"/>
  <c r="DA22" i="1"/>
  <c r="CZ22" i="1"/>
  <c r="CY22" i="1"/>
  <c r="CX22" i="1"/>
  <c r="IB21" i="1"/>
  <c r="IA21" i="1" s="1"/>
  <c r="HX21" i="1"/>
  <c r="HW21" i="1" s="1"/>
  <c r="HT21" i="1"/>
  <c r="HS21" i="1" s="1"/>
  <c r="HP21" i="1"/>
  <c r="HO21" i="1" s="1"/>
  <c r="HH21" i="1"/>
  <c r="HG21" i="1" s="1"/>
  <c r="GV21" i="1"/>
  <c r="GU21" i="1" s="1"/>
  <c r="FR21" i="1"/>
  <c r="FP21" i="1"/>
  <c r="FI21" i="1"/>
  <c r="FP20" i="1"/>
  <c r="FO20" i="1" s="1"/>
  <c r="FJ20" i="1"/>
  <c r="FI20" i="1"/>
  <c r="FR19" i="1"/>
  <c r="FR17" i="1" s="1"/>
  <c r="FQ19" i="1"/>
  <c r="FQ17" i="1" s="1"/>
  <c r="FP19" i="1"/>
  <c r="FI19" i="1"/>
  <c r="FI17" i="1" s="1"/>
  <c r="ID17" i="1"/>
  <c r="IC17" i="1"/>
  <c r="HZ17" i="1"/>
  <c r="HY17" i="1"/>
  <c r="HV17" i="1"/>
  <c r="HU17" i="1"/>
  <c r="HR17" i="1"/>
  <c r="HQ17" i="1"/>
  <c r="HN17" i="1"/>
  <c r="HM17" i="1"/>
  <c r="HJ17" i="1"/>
  <c r="HI17" i="1"/>
  <c r="GX17" i="1"/>
  <c r="GW17" i="1"/>
  <c r="EU17" i="1"/>
  <c r="IB16" i="1"/>
  <c r="IA16" i="1" s="1"/>
  <c r="HX16" i="1"/>
  <c r="HW16" i="1" s="1"/>
  <c r="HT16" i="1"/>
  <c r="HS16" i="1" s="1"/>
  <c r="HP16" i="1"/>
  <c r="HO16" i="1" s="1"/>
  <c r="HL16" i="1"/>
  <c r="HK16" i="1" s="1"/>
  <c r="HH16" i="1"/>
  <c r="HG16" i="1" s="1"/>
  <c r="GV16" i="1"/>
  <c r="GU16" i="1" s="1"/>
  <c r="FR16" i="1"/>
  <c r="FQ16" i="1"/>
  <c r="FP16" i="1"/>
  <c r="FL16" i="1"/>
  <c r="FK16" i="1" s="1"/>
  <c r="FH16" i="1"/>
  <c r="FG16" i="1" s="1"/>
  <c r="FF16" i="1"/>
  <c r="FE16" i="1"/>
  <c r="FD16" i="1"/>
  <c r="ET16" i="1"/>
  <c r="ES16" i="1" s="1"/>
  <c r="EP16" i="1"/>
  <c r="EO16" i="1" s="1"/>
  <c r="EL16" i="1"/>
  <c r="EK16" i="1" s="1"/>
  <c r="EH16" i="1"/>
  <c r="EG16" i="1" s="1"/>
  <c r="DJ16" i="1"/>
  <c r="DI16" i="1" s="1"/>
  <c r="CX16" i="1"/>
  <c r="CW16" i="1" s="1"/>
  <c r="ID15" i="1"/>
  <c r="IC15" i="1"/>
  <c r="HZ15" i="1"/>
  <c r="HY15" i="1"/>
  <c r="HX15" i="1"/>
  <c r="HV15" i="1"/>
  <c r="HU15" i="1"/>
  <c r="HR15" i="1"/>
  <c r="HQ15" i="1"/>
  <c r="HN15" i="1"/>
  <c r="HM15" i="1"/>
  <c r="HJ15" i="1"/>
  <c r="HI15" i="1"/>
  <c r="GX15" i="1"/>
  <c r="GW15" i="1"/>
  <c r="FR15" i="1"/>
  <c r="FQ15" i="1"/>
  <c r="FN15" i="1"/>
  <c r="FM15" i="1"/>
  <c r="FL15" i="1"/>
  <c r="FJ15" i="1"/>
  <c r="FI15" i="1"/>
  <c r="FF15" i="1"/>
  <c r="FE15" i="1"/>
  <c r="FB15" i="1"/>
  <c r="FA15" i="1"/>
  <c r="EZ15" i="1"/>
  <c r="EV15" i="1"/>
  <c r="EU15" i="1"/>
  <c r="ET15" i="1"/>
  <c r="ER15" i="1"/>
  <c r="EQ15" i="1"/>
  <c r="EP15" i="1"/>
  <c r="EN15" i="1"/>
  <c r="EM15" i="1"/>
  <c r="EJ15" i="1"/>
  <c r="EI15" i="1"/>
  <c r="EF15" i="1"/>
  <c r="EE15" i="1"/>
  <c r="ED15" i="1"/>
  <c r="EC15" i="1"/>
  <c r="EB15" i="1"/>
  <c r="EA15" i="1"/>
  <c r="DW15" i="1"/>
  <c r="DM15" i="1"/>
  <c r="DL15" i="1" s="1"/>
  <c r="DE15" i="1"/>
  <c r="DD15" i="1"/>
  <c r="DC15" i="1"/>
  <c r="CX15" i="1"/>
  <c r="CW15" i="1" s="1"/>
  <c r="CO15" i="1"/>
  <c r="BW15" i="1"/>
  <c r="BT15" i="1"/>
  <c r="BQ15" i="1"/>
  <c r="BI15" i="1"/>
  <c r="AR15" i="1"/>
  <c r="AQ15" i="1"/>
  <c r="AP15" i="1"/>
  <c r="AN15" i="1"/>
  <c r="AM15" i="1"/>
  <c r="AJ15" i="1"/>
  <c r="AI15" i="1"/>
  <c r="AD15" i="1"/>
  <c r="CP14" i="1"/>
  <c r="CO14" i="1"/>
  <c r="CN14" i="1"/>
  <c r="BU14" i="1"/>
  <c r="BT14" i="1"/>
  <c r="BS14" i="1"/>
  <c r="BR14" i="1"/>
  <c r="BQ14" i="1"/>
  <c r="BP14" i="1"/>
  <c r="BO14" i="1"/>
  <c r="BN14" i="1"/>
  <c r="BM14" i="1"/>
  <c r="HY12" i="1"/>
  <c r="FM12" i="1"/>
  <c r="FL12" i="1"/>
  <c r="FB12" i="1"/>
  <c r="FA12" i="1"/>
  <c r="EY12" i="1"/>
  <c r="EX12" i="1"/>
  <c r="ER12" i="1"/>
  <c r="EQ12" i="1"/>
  <c r="EP12" i="1"/>
  <c r="EF12" i="1"/>
  <c r="EE12" i="1"/>
  <c r="EC12" i="1"/>
  <c r="EB12" i="1"/>
  <c r="EA12" i="1"/>
  <c r="DZ12" i="1"/>
  <c r="DY12" i="1"/>
  <c r="DX12" i="1"/>
  <c r="DW12" i="1"/>
  <c r="DV12" i="1"/>
  <c r="DT12" i="1"/>
  <c r="DQ12" i="1"/>
  <c r="DP12" i="1"/>
  <c r="DN12" i="1"/>
  <c r="DM12" i="1"/>
  <c r="DK12" i="1"/>
  <c r="DJ12" i="1"/>
  <c r="DH12" i="1"/>
  <c r="DG12" i="1"/>
  <c r="DE12" i="1"/>
  <c r="DD12" i="1"/>
  <c r="DC12" i="1"/>
  <c r="DB12" i="1"/>
  <c r="DA12" i="1"/>
  <c r="CZ12" i="1"/>
  <c r="CY12" i="1"/>
  <c r="CX12" i="1"/>
  <c r="FM11" i="1"/>
  <c r="EP11" i="1"/>
  <c r="DS11" i="1"/>
  <c r="DP11" i="1"/>
  <c r="DM11" i="1"/>
  <c r="DJ11" i="1"/>
  <c r="DG11" i="1"/>
  <c r="BL9" i="1"/>
  <c r="CP8" i="1"/>
  <c r="CO8" i="1"/>
  <c r="CN8" i="1"/>
  <c r="HS1" i="1"/>
  <c r="I116" i="1" l="1"/>
  <c r="H116" i="1" s="1"/>
  <c r="FE361" i="1"/>
  <c r="GB42" i="1"/>
  <c r="FT42" i="1"/>
  <c r="GJ238" i="1"/>
  <c r="FT238" i="1"/>
  <c r="FT267" i="1"/>
  <c r="GJ267" i="1"/>
  <c r="GJ280" i="1"/>
  <c r="FT280" i="1"/>
  <c r="GJ283" i="1"/>
  <c r="FT283" i="1"/>
  <c r="GJ225" i="1"/>
  <c r="FT225" i="1"/>
  <c r="GJ251" i="1"/>
  <c r="FT251" i="1"/>
  <c r="FT271" i="1"/>
  <c r="GJ271" i="1"/>
  <c r="GX168" i="1"/>
  <c r="GU168" i="1" s="1"/>
  <c r="GB220" i="1"/>
  <c r="GJ220" i="1"/>
  <c r="FT220" i="1"/>
  <c r="GB223" i="1"/>
  <c r="GJ223" i="1"/>
  <c r="FT223" i="1"/>
  <c r="GJ229" i="1"/>
  <c r="FT229" i="1"/>
  <c r="FV269" i="1"/>
  <c r="GL269" i="1"/>
  <c r="FT272" i="1"/>
  <c r="GJ272" i="1"/>
  <c r="GJ227" i="1"/>
  <c r="FT227" i="1"/>
  <c r="GV236" i="1"/>
  <c r="GU236" i="1" s="1"/>
  <c r="GV237" i="1"/>
  <c r="GU237" i="1" s="1"/>
  <c r="FX269" i="1"/>
  <c r="GN269" i="1"/>
  <c r="GB313" i="1"/>
  <c r="FT313" i="1"/>
  <c r="FT264" i="1"/>
  <c r="GJ264" i="1"/>
  <c r="FT275" i="1"/>
  <c r="GJ275" i="1"/>
  <c r="FT276" i="1"/>
  <c r="GJ276" i="1"/>
  <c r="FT284" i="1"/>
  <c r="GJ284" i="1"/>
  <c r="GD308" i="1"/>
  <c r="FV308" i="1"/>
  <c r="FE22" i="1"/>
  <c r="FX346" i="1"/>
  <c r="FT239" i="1"/>
  <c r="GJ239" i="1"/>
  <c r="GJ250" i="1"/>
  <c r="FT250" i="1"/>
  <c r="FT270" i="1"/>
  <c r="GJ270" i="1"/>
  <c r="GB309" i="1"/>
  <c r="FT309" i="1"/>
  <c r="GJ218" i="1"/>
  <c r="FT218" i="1"/>
  <c r="GJ249" i="1"/>
  <c r="FT249" i="1"/>
  <c r="GP263" i="1"/>
  <c r="FZ263" i="1"/>
  <c r="GL277" i="1"/>
  <c r="FV277" i="1"/>
  <c r="GJ281" i="1"/>
  <c r="FT281" i="1"/>
  <c r="FC352" i="1"/>
  <c r="FV352" i="1"/>
  <c r="GJ273" i="1"/>
  <c r="FT273" i="1"/>
  <c r="GB316" i="1"/>
  <c r="FT316" i="1"/>
  <c r="GK26" i="1"/>
  <c r="GI26" i="1" s="1"/>
  <c r="GB251" i="1"/>
  <c r="GB94" i="1"/>
  <c r="FT94" i="1"/>
  <c r="FD253" i="1"/>
  <c r="FD19" i="1"/>
  <c r="FV19" i="1" s="1"/>
  <c r="FD246" i="1"/>
  <c r="HT287" i="1"/>
  <c r="HT245" i="1"/>
  <c r="HS245" i="1" s="1"/>
  <c r="FJ21" i="1"/>
  <c r="FJ246" i="1"/>
  <c r="IB287" i="1"/>
  <c r="IA287" i="1" s="1"/>
  <c r="IB245" i="1"/>
  <c r="IA245" i="1" s="1"/>
  <c r="FK263" i="1"/>
  <c r="FK288" i="1" s="1"/>
  <c r="GV287" i="1"/>
  <c r="GV245" i="1"/>
  <c r="GU245" i="1" s="1"/>
  <c r="CX11" i="1"/>
  <c r="HX232" i="1"/>
  <c r="HX231" i="1" s="1"/>
  <c r="HW231" i="1" s="1"/>
  <c r="HG143" i="1"/>
  <c r="HR143" i="1" s="1"/>
  <c r="HR214" i="1" s="1"/>
  <c r="HJ214" i="1"/>
  <c r="ET191" i="1"/>
  <c r="ET190" i="1" s="1"/>
  <c r="ET189" i="1" s="1"/>
  <c r="ET17" i="1" s="1"/>
  <c r="ET214" i="1"/>
  <c r="IA192" i="1"/>
  <c r="IB214" i="1"/>
  <c r="GU192" i="1"/>
  <c r="GV214" i="1"/>
  <c r="GU214" i="1" s="1"/>
  <c r="HO192" i="1"/>
  <c r="HP214" i="1"/>
  <c r="FH180" i="1"/>
  <c r="HP65" i="1"/>
  <c r="HO65" i="1" s="1"/>
  <c r="HP66" i="1"/>
  <c r="FH67" i="1"/>
  <c r="FP66" i="1"/>
  <c r="FO66" i="1" s="1"/>
  <c r="IA63" i="1"/>
  <c r="IB243" i="1"/>
  <c r="IA243" i="1" s="1"/>
  <c r="FO181" i="1"/>
  <c r="FR214" i="1"/>
  <c r="FF288" i="1"/>
  <c r="GB263" i="1"/>
  <c r="GH263" i="1"/>
  <c r="V31" i="1"/>
  <c r="V207" i="1" s="1"/>
  <c r="FS29" i="1"/>
  <c r="FY14" i="1"/>
  <c r="FS14" i="1" s="1"/>
  <c r="GH374" i="1"/>
  <c r="FZ374" i="1"/>
  <c r="FC113" i="1"/>
  <c r="GJ113" i="1" s="1"/>
  <c r="FV113" i="1"/>
  <c r="FI285" i="1"/>
  <c r="FQ285" i="1"/>
  <c r="GJ323" i="1"/>
  <c r="GB323" i="1"/>
  <c r="FZ87" i="1"/>
  <c r="FS87" i="1"/>
  <c r="FT87" i="1" s="1"/>
  <c r="FF142" i="1"/>
  <c r="FD362" i="1"/>
  <c r="FV362" i="1" s="1"/>
  <c r="GD377" i="1"/>
  <c r="GP363" i="1"/>
  <c r="GH363" i="1"/>
  <c r="GJ375" i="1"/>
  <c r="GB375" i="1"/>
  <c r="IB197" i="1"/>
  <c r="IA197" i="1" s="1"/>
  <c r="GJ376" i="1"/>
  <c r="GB376" i="1"/>
  <c r="AC207" i="1"/>
  <c r="FE285" i="1"/>
  <c r="DV15" i="1"/>
  <c r="DJ15" i="1"/>
  <c r="DI15" i="1" s="1"/>
  <c r="HH19" i="1"/>
  <c r="HG19" i="1" s="1"/>
  <c r="FM285" i="1"/>
  <c r="FM355" i="1" s="1"/>
  <c r="FM396" i="1" s="1"/>
  <c r="FD23" i="1"/>
  <c r="DK269" i="1"/>
  <c r="AX311" i="1"/>
  <c r="AX310" i="1" s="1"/>
  <c r="CA311" i="1"/>
  <c r="CA310" i="1" s="1"/>
  <c r="CZ311" i="1"/>
  <c r="HP225" i="1"/>
  <c r="HO225" i="1" s="1"/>
  <c r="BF311" i="1"/>
  <c r="CH311" i="1"/>
  <c r="CT311" i="1"/>
  <c r="F311" i="1"/>
  <c r="E311" i="1" s="1"/>
  <c r="AU31" i="1"/>
  <c r="AU207" i="1" s="1"/>
  <c r="BG31" i="1"/>
  <c r="BO31" i="1"/>
  <c r="BO207" i="1" s="1"/>
  <c r="CA31" i="1"/>
  <c r="DO311" i="1"/>
  <c r="S207" i="1"/>
  <c r="BM105" i="1"/>
  <c r="BM31" i="1" s="1"/>
  <c r="BM207" i="1" s="1"/>
  <c r="BY105" i="1"/>
  <c r="BY31" i="1" s="1"/>
  <c r="ES311" i="1"/>
  <c r="X311" i="1"/>
  <c r="HO311" i="1"/>
  <c r="BH311" i="1"/>
  <c r="BC216" i="1"/>
  <c r="DV224" i="1"/>
  <c r="DU224" i="1" s="1"/>
  <c r="BB228" i="1"/>
  <c r="CH228" i="1"/>
  <c r="DU228" i="1"/>
  <c r="IB232" i="1"/>
  <c r="IA232" i="1" s="1"/>
  <c r="IA233" i="1"/>
  <c r="FM17" i="1"/>
  <c r="P311" i="1"/>
  <c r="P310" i="1" s="1"/>
  <c r="Y311" i="1"/>
  <c r="BG311" i="1"/>
  <c r="BG310" i="1" s="1"/>
  <c r="CF313" i="1"/>
  <c r="BV311" i="1"/>
  <c r="CF311" i="1" s="1"/>
  <c r="DU311" i="1"/>
  <c r="AW311" i="1"/>
  <c r="AW310" i="1" s="1"/>
  <c r="CL311" i="1"/>
  <c r="CL310" i="1" s="1"/>
  <c r="HI361" i="1"/>
  <c r="CW395" i="1"/>
  <c r="AK313" i="1"/>
  <c r="Z311" i="1"/>
  <c r="Z310" i="1" s="1"/>
  <c r="BY313" i="1"/>
  <c r="BZ311" i="1"/>
  <c r="BZ310" i="1" s="1"/>
  <c r="EG311" i="1"/>
  <c r="AF313" i="1"/>
  <c r="AR313" i="1" s="1"/>
  <c r="AG311" i="1"/>
  <c r="AG310" i="1" s="1"/>
  <c r="ED316" i="1"/>
  <c r="EE311" i="1"/>
  <c r="ED311" i="1" s="1"/>
  <c r="Q313" i="1"/>
  <c r="R311" i="1"/>
  <c r="Q311" i="1" s="1"/>
  <c r="DS313" i="1"/>
  <c r="EZ313" i="1"/>
  <c r="FA311" i="1"/>
  <c r="EZ311" i="1" s="1"/>
  <c r="CP316" i="1"/>
  <c r="CM311" i="1"/>
  <c r="CM310" i="1" s="1"/>
  <c r="GU316" i="1"/>
  <c r="GU311" i="1" s="1"/>
  <c r="GV311" i="1"/>
  <c r="GV310" i="1" s="1"/>
  <c r="GU310" i="1" s="1"/>
  <c r="EH23" i="1"/>
  <c r="BF31" i="1"/>
  <c r="BF207" i="1" s="1"/>
  <c r="FK159" i="1"/>
  <c r="J311" i="1"/>
  <c r="AC311" i="1"/>
  <c r="AC310" i="1" s="1"/>
  <c r="BB311" i="1"/>
  <c r="BB310" i="1" s="1"/>
  <c r="CB311" i="1"/>
  <c r="CQ311" i="1"/>
  <c r="EK313" i="1"/>
  <c r="EL311" i="1"/>
  <c r="DX311" i="1"/>
  <c r="EO311" i="1"/>
  <c r="HX316" i="1"/>
  <c r="HL311" i="1"/>
  <c r="HL310" i="1" s="1"/>
  <c r="HK310" i="1" s="1"/>
  <c r="CW323" i="1"/>
  <c r="CX311" i="1"/>
  <c r="CW311" i="1" s="1"/>
  <c r="DJ88" i="1"/>
  <c r="DI88" i="1" s="1"/>
  <c r="BO359" i="1"/>
  <c r="BO29" i="1" s="1"/>
  <c r="DG359" i="1"/>
  <c r="DG29" i="1" s="1"/>
  <c r="DS359" i="1"/>
  <c r="DS29" i="1" s="1"/>
  <c r="EI359" i="1"/>
  <c r="EI397" i="1" s="1"/>
  <c r="FI359" i="1"/>
  <c r="FI397" i="1" s="1"/>
  <c r="AZ31" i="1"/>
  <c r="AZ207" i="1" s="1"/>
  <c r="AX263" i="1"/>
  <c r="AX288" i="1" s="1"/>
  <c r="AX359" i="1" s="1"/>
  <c r="AX29" i="1" s="1"/>
  <c r="FF354" i="1"/>
  <c r="T35" i="1"/>
  <c r="K40" i="1"/>
  <c r="T40" i="1"/>
  <c r="CB40" i="1"/>
  <c r="CF40" i="1" s="1"/>
  <c r="DI238" i="1"/>
  <c r="EI285" i="1"/>
  <c r="HT19" i="1"/>
  <c r="HS19" i="1" s="1"/>
  <c r="HJ31" i="1"/>
  <c r="HZ31" i="1"/>
  <c r="DI90" i="1"/>
  <c r="CQ110" i="1"/>
  <c r="DS181" i="1"/>
  <c r="DR181" i="1" s="1"/>
  <c r="AD359" i="1"/>
  <c r="AD397" i="1" s="1"/>
  <c r="AD14" i="1" s="1"/>
  <c r="DJ359" i="1"/>
  <c r="DJ397" i="1" s="1"/>
  <c r="DJ14" i="1" s="1"/>
  <c r="FL359" i="1"/>
  <c r="FL397" i="1" s="1"/>
  <c r="FL14" i="1" s="1"/>
  <c r="DI274" i="1"/>
  <c r="HW306" i="1"/>
  <c r="HR354" i="1"/>
  <c r="GW361" i="1"/>
  <c r="EX23" i="1"/>
  <c r="AE31" i="1"/>
  <c r="AE207" i="1" s="1"/>
  <c r="H105" i="1"/>
  <c r="DJ110" i="1"/>
  <c r="DI110" i="1" s="1"/>
  <c r="AC119" i="1"/>
  <c r="FJ190" i="1"/>
  <c r="FJ189" i="1" s="1"/>
  <c r="HV357" i="1"/>
  <c r="HV27" i="1" s="1"/>
  <c r="HV12" i="1" s="1"/>
  <c r="ID357" i="1"/>
  <c r="ID27" i="1" s="1"/>
  <c r="ID12" i="1" s="1"/>
  <c r="BN359" i="1"/>
  <c r="BN29" i="1" s="1"/>
  <c r="BR359" i="1"/>
  <c r="BR29" i="1" s="1"/>
  <c r="DD359" i="1"/>
  <c r="DD397" i="1" s="1"/>
  <c r="DD14" i="1" s="1"/>
  <c r="FH359" i="1"/>
  <c r="FH397" i="1" s="1"/>
  <c r="DI220" i="1"/>
  <c r="FO249" i="1"/>
  <c r="HP295" i="1"/>
  <c r="HO295" i="1" s="1"/>
  <c r="Q388" i="1"/>
  <c r="Y31" i="1"/>
  <c r="Y207" i="1" s="1"/>
  <c r="AD31" i="1"/>
  <c r="AD207" i="1" s="1"/>
  <c r="AL31" i="1"/>
  <c r="AQ31" i="1"/>
  <c r="AQ207" i="1" s="1"/>
  <c r="ET138" i="1"/>
  <c r="ES138" i="1" s="1"/>
  <c r="E35" i="1"/>
  <c r="Q35" i="1"/>
  <c r="DK138" i="1"/>
  <c r="DI138" i="1" s="1"/>
  <c r="DH139" i="1"/>
  <c r="DH138" i="1" s="1"/>
  <c r="DF138" i="1" s="1"/>
  <c r="DX150" i="1"/>
  <c r="FN150" i="1"/>
  <c r="FK150" i="1" s="1"/>
  <c r="ES156" i="1"/>
  <c r="H242" i="1"/>
  <c r="BE242" i="1"/>
  <c r="IC286" i="1"/>
  <c r="DG276" i="1"/>
  <c r="DF276" i="1" s="1"/>
  <c r="EH295" i="1"/>
  <c r="EG295" i="1" s="1"/>
  <c r="AD91" i="1"/>
  <c r="AC91" i="1" s="1"/>
  <c r="T105" i="1"/>
  <c r="AA31" i="1"/>
  <c r="AA207" i="1" s="1"/>
  <c r="AI31" i="1"/>
  <c r="AI207" i="1" s="1"/>
  <c r="AR31" i="1"/>
  <c r="AR207" i="1" s="1"/>
  <c r="BX31" i="1"/>
  <c r="BX207" i="1" s="1"/>
  <c r="X110" i="1"/>
  <c r="W110" i="1" s="1"/>
  <c r="N117" i="1"/>
  <c r="W117" i="1"/>
  <c r="W136" i="1"/>
  <c r="BY136" i="1"/>
  <c r="DI139" i="1"/>
  <c r="EV143" i="1"/>
  <c r="CL248" i="1"/>
  <c r="CL244" i="1" s="1"/>
  <c r="CK244" i="1" s="1"/>
  <c r="DI23" i="1"/>
  <c r="CH361" i="1"/>
  <c r="EU361" i="1"/>
  <c r="M364" i="1"/>
  <c r="DE364" i="1"/>
  <c r="DC364" i="1" s="1"/>
  <c r="BG364" i="1"/>
  <c r="BE364" i="1" s="1"/>
  <c r="BE361" i="1" s="1"/>
  <c r="K395" i="1"/>
  <c r="AK395" i="1"/>
  <c r="BI31" i="1"/>
  <c r="BI207" i="1" s="1"/>
  <c r="BQ31" i="1"/>
  <c r="BQ207" i="1" s="1"/>
  <c r="BW359" i="1"/>
  <c r="BW397" i="1" s="1"/>
  <c r="BW14" i="1" s="1"/>
  <c r="BF221" i="1"/>
  <c r="BE221" i="1" s="1"/>
  <c r="AK225" i="1"/>
  <c r="DU225" i="1"/>
  <c r="CD263" i="1"/>
  <c r="CD288" i="1" s="1"/>
  <c r="DS276" i="1"/>
  <c r="DR276" i="1" s="1"/>
  <c r="EM17" i="1"/>
  <c r="AT31" i="1"/>
  <c r="AT207" i="1" s="1"/>
  <c r="CH59" i="1"/>
  <c r="EH61" i="1"/>
  <c r="EH59" i="1" s="1"/>
  <c r="EG59" i="1" s="1"/>
  <c r="AF65" i="1"/>
  <c r="BE93" i="1"/>
  <c r="HG95" i="1"/>
  <c r="HW95" i="1"/>
  <c r="DI104" i="1"/>
  <c r="K105" i="1"/>
  <c r="Q105" i="1"/>
  <c r="HX119" i="1"/>
  <c r="HW119" i="1" s="1"/>
  <c r="CW142" i="1"/>
  <c r="EV173" i="1"/>
  <c r="ER173" i="1" s="1"/>
  <c r="EK180" i="1"/>
  <c r="DM359" i="1"/>
  <c r="DM29" i="1" s="1"/>
  <c r="DY359" i="1"/>
  <c r="DY29" i="1" s="1"/>
  <c r="H254" i="1"/>
  <c r="H253" i="1" s="1"/>
  <c r="GW269" i="1"/>
  <c r="GW285" i="1" s="1"/>
  <c r="H270" i="1"/>
  <c r="DH274" i="1"/>
  <c r="DF274" i="1" s="1"/>
  <c r="CU293" i="1"/>
  <c r="CU292" i="1" s="1"/>
  <c r="FC319" i="1"/>
  <c r="FT319" i="1" s="1"/>
  <c r="EW110" i="1"/>
  <c r="E228" i="1"/>
  <c r="W229" i="1"/>
  <c r="W230" i="1"/>
  <c r="Z105" i="1"/>
  <c r="Z31" i="1" s="1"/>
  <c r="Z207" i="1" s="1"/>
  <c r="BP105" i="1"/>
  <c r="BP31" i="1" s="1"/>
  <c r="BP207" i="1" s="1"/>
  <c r="BH119" i="1"/>
  <c r="EO361" i="1"/>
  <c r="GU371" i="1"/>
  <c r="FO380" i="1"/>
  <c r="DU387" i="1"/>
  <c r="DU15" i="1" s="1"/>
  <c r="S387" i="1"/>
  <c r="Q387" i="1" s="1"/>
  <c r="EH192" i="1"/>
  <c r="DM236" i="1"/>
  <c r="DJ348" i="1"/>
  <c r="DI348" i="1" s="1"/>
  <c r="HP23" i="1"/>
  <c r="BW31" i="1"/>
  <c r="BW207" i="1" s="1"/>
  <c r="FP33" i="1"/>
  <c r="FP209" i="1" s="1"/>
  <c r="FP357" i="1" s="1"/>
  <c r="HT33" i="1"/>
  <c r="HT209" i="1" s="1"/>
  <c r="HT357" i="1" s="1"/>
  <c r="FO67" i="1"/>
  <c r="HO67" i="1"/>
  <c r="FH91" i="1"/>
  <c r="FG91" i="1" s="1"/>
  <c r="AS105" i="1"/>
  <c r="AS31" i="1" s="1"/>
  <c r="AS207" i="1" s="1"/>
  <c r="AY105" i="1"/>
  <c r="AY31" i="1" s="1"/>
  <c r="BE105" i="1"/>
  <c r="BE31" i="1" s="1"/>
  <c r="HX107" i="1"/>
  <c r="HW107" i="1" s="1"/>
  <c r="HH110" i="1"/>
  <c r="HG110" i="1" s="1"/>
  <c r="HK111" i="1"/>
  <c r="HW111" i="1"/>
  <c r="CQ116" i="1"/>
  <c r="FH116" i="1"/>
  <c r="FG116" i="1" s="1"/>
  <c r="EW119" i="1"/>
  <c r="HH125" i="1"/>
  <c r="HG125" i="1" s="1"/>
  <c r="CD138" i="1"/>
  <c r="CB138" i="1" s="1"/>
  <c r="DO138" i="1"/>
  <c r="DI162" i="1"/>
  <c r="AQ359" i="1"/>
  <c r="AQ397" i="1" s="1"/>
  <c r="AQ14" i="1" s="1"/>
  <c r="GV359" i="1"/>
  <c r="GV397" i="1" s="1"/>
  <c r="HL359" i="1"/>
  <c r="HL397" i="1" s="1"/>
  <c r="HT359" i="1"/>
  <c r="IB359" i="1"/>
  <c r="IB397" i="1" s="1"/>
  <c r="FJ217" i="1"/>
  <c r="FJ216" i="1" s="1"/>
  <c r="FJ213" i="1" s="1"/>
  <c r="BB221" i="1"/>
  <c r="DS238" i="1"/>
  <c r="DR238" i="1" s="1"/>
  <c r="HW248" i="1"/>
  <c r="DL263" i="1"/>
  <c r="DL288" i="1" s="1"/>
  <c r="DH267" i="1"/>
  <c r="DF267" i="1" s="1"/>
  <c r="DF263" i="1" s="1"/>
  <c r="DF288" i="1" s="1"/>
  <c r="FO276" i="1"/>
  <c r="BZ295" i="1"/>
  <c r="HX304" i="1"/>
  <c r="HW304" i="1" s="1"/>
  <c r="DB361" i="1"/>
  <c r="DB11" i="1" s="1"/>
  <c r="CZ11" i="1" s="1"/>
  <c r="HU361" i="1"/>
  <c r="IB19" i="1"/>
  <c r="IA19" i="1" s="1"/>
  <c r="HP20" i="1"/>
  <c r="HO20" i="1" s="1"/>
  <c r="BJ31" i="1"/>
  <c r="BJ207" i="1" s="1"/>
  <c r="DU152" i="1"/>
  <c r="AF183" i="1"/>
  <c r="AR183" i="1" s="1"/>
  <c r="AX295" i="1"/>
  <c r="H35" i="1"/>
  <c r="AM31" i="1"/>
  <c r="AM207" i="1" s="1"/>
  <c r="DM51" i="1"/>
  <c r="DM191" i="1" s="1"/>
  <c r="DM90" i="1"/>
  <c r="DS90" i="1" s="1"/>
  <c r="DR90" i="1" s="1"/>
  <c r="CZ91" i="1"/>
  <c r="DI91" i="1"/>
  <c r="N105" i="1"/>
  <c r="BH105" i="1"/>
  <c r="BH31" i="1" s="1"/>
  <c r="BH207" i="1" s="1"/>
  <c r="DS127" i="1"/>
  <c r="DS125" i="1" s="1"/>
  <c r="DR125" i="1" s="1"/>
  <c r="FO173" i="1"/>
  <c r="HK173" i="1"/>
  <c r="EK176" i="1"/>
  <c r="EE193" i="1"/>
  <c r="ED193" i="1" s="1"/>
  <c r="GV197" i="1"/>
  <c r="GU197" i="1" s="1"/>
  <c r="HK199" i="1"/>
  <c r="DI204" i="1"/>
  <c r="GU204" i="1"/>
  <c r="BM359" i="1"/>
  <c r="BM29" i="1" s="1"/>
  <c r="AW227" i="1"/>
  <c r="AV227" i="1" s="1"/>
  <c r="BP295" i="1"/>
  <c r="FP348" i="1"/>
  <c r="FO348" i="1" s="1"/>
  <c r="DG349" i="1"/>
  <c r="DG348" i="1" s="1"/>
  <c r="DF348" i="1" s="1"/>
  <c r="BD361" i="1"/>
  <c r="CM361" i="1"/>
  <c r="ES363" i="1"/>
  <c r="HS363" i="1"/>
  <c r="AK364" i="1"/>
  <c r="DO387" i="1"/>
  <c r="AH31" i="1"/>
  <c r="AH207" i="1" s="1"/>
  <c r="FH123" i="1"/>
  <c r="FG123" i="1" s="1"/>
  <c r="FO123" i="1"/>
  <c r="P136" i="1"/>
  <c r="N136" i="1" s="1"/>
  <c r="HX136" i="1"/>
  <c r="HW136" i="1" s="1"/>
  <c r="HK136" i="1"/>
  <c r="HJ141" i="1"/>
  <c r="HJ138" i="1" s="1"/>
  <c r="HO141" i="1"/>
  <c r="HG141" i="1" s="1"/>
  <c r="HG138" i="1" s="1"/>
  <c r="HK156" i="1"/>
  <c r="HZ156" i="1"/>
  <c r="HW156" i="1" s="1"/>
  <c r="ER170" i="1"/>
  <c r="EO171" i="1"/>
  <c r="EO170" i="1" s="1"/>
  <c r="GU238" i="1"/>
  <c r="HP238" i="1"/>
  <c r="HI286" i="1"/>
  <c r="CL269" i="1"/>
  <c r="S395" i="1"/>
  <c r="Q395" i="1"/>
  <c r="P395" i="1"/>
  <c r="FP63" i="1"/>
  <c r="FD61" i="1"/>
  <c r="FD36" i="1" s="1"/>
  <c r="FV63" i="1"/>
  <c r="GD63" i="1"/>
  <c r="GL63" i="1"/>
  <c r="FC63" i="1"/>
  <c r="FT63" i="1" s="1"/>
  <c r="HS114" i="1"/>
  <c r="HT113" i="1"/>
  <c r="HS113" i="1" s="1"/>
  <c r="FD120" i="1"/>
  <c r="GL120" i="1" s="1"/>
  <c r="FC122" i="1"/>
  <c r="FT122" i="1" s="1"/>
  <c r="ES169" i="1"/>
  <c r="ES168" i="1" s="1"/>
  <c r="EV168" i="1"/>
  <c r="ER169" i="1"/>
  <c r="ER168" i="1" s="1"/>
  <c r="BV264" i="1"/>
  <c r="BV263" i="1" s="1"/>
  <c r="BX263" i="1"/>
  <c r="BX288" i="1" s="1"/>
  <c r="BX359" i="1" s="1"/>
  <c r="BX29" i="1" s="1"/>
  <c r="FH297" i="1"/>
  <c r="FG297" i="1" s="1"/>
  <c r="FO297" i="1"/>
  <c r="L31" i="1"/>
  <c r="L207" i="1" s="1"/>
  <c r="O53" i="1"/>
  <c r="O51" i="1" s="1"/>
  <c r="N51" i="1" s="1"/>
  <c r="N211" i="1" s="1"/>
  <c r="Q53" i="1"/>
  <c r="BT111" i="1"/>
  <c r="AZ110" i="1"/>
  <c r="AY110" i="1" s="1"/>
  <c r="BL110" i="1" s="1"/>
  <c r="FH136" i="1"/>
  <c r="FG136" i="1" s="1"/>
  <c r="FO136" i="1"/>
  <c r="BV254" i="1"/>
  <c r="BV253" i="1" s="1"/>
  <c r="CE253" i="1" s="1"/>
  <c r="BW253" i="1"/>
  <c r="DS270" i="1"/>
  <c r="DR270" i="1" s="1"/>
  <c r="DI270" i="1"/>
  <c r="DJ269" i="1"/>
  <c r="DG270" i="1"/>
  <c r="DF270" i="1" s="1"/>
  <c r="CQ269" i="1"/>
  <c r="GH274" i="1"/>
  <c r="HN269" i="1"/>
  <c r="HK274" i="1"/>
  <c r="IA274" i="1"/>
  <c r="ID269" i="1"/>
  <c r="DM269" i="1"/>
  <c r="DL276" i="1"/>
  <c r="DL269" i="1" s="1"/>
  <c r="DI297" i="1"/>
  <c r="DG297" i="1"/>
  <c r="DG295" i="1" s="1"/>
  <c r="DF295" i="1" s="1"/>
  <c r="DL299" i="1"/>
  <c r="DM298" i="1"/>
  <c r="DL298" i="1" s="1"/>
  <c r="E319" i="1"/>
  <c r="I319" i="1"/>
  <c r="H319" i="1" s="1"/>
  <c r="FO351" i="1"/>
  <c r="FH351" i="1"/>
  <c r="FH349" i="1" s="1"/>
  <c r="FG349" i="1" s="1"/>
  <c r="FO379" i="1"/>
  <c r="FH379" i="1"/>
  <c r="FG379" i="1" s="1"/>
  <c r="IA136" i="1"/>
  <c r="Z211" i="1"/>
  <c r="AK137" i="1"/>
  <c r="AK211" i="1" s="1"/>
  <c r="HP197" i="1"/>
  <c r="HO197" i="1" s="1"/>
  <c r="HO198" i="1"/>
  <c r="ES280" i="1"/>
  <c r="EL280" i="1"/>
  <c r="EK280" i="1" s="1"/>
  <c r="DX364" i="1"/>
  <c r="DX361" i="1" s="1"/>
  <c r="DZ361" i="1"/>
  <c r="HP63" i="1"/>
  <c r="GU63" i="1"/>
  <c r="BZ119" i="1"/>
  <c r="BY119" i="1" s="1"/>
  <c r="IB20" i="1"/>
  <c r="IA20" i="1" s="1"/>
  <c r="O31" i="1"/>
  <c r="O207" i="1" s="1"/>
  <c r="J31" i="1"/>
  <c r="H31" i="1" s="1"/>
  <c r="HX59" i="1"/>
  <c r="HW59" i="1" s="1"/>
  <c r="GV61" i="1"/>
  <c r="GU61" i="1" s="1"/>
  <c r="EE65" i="1"/>
  <c r="ED65" i="1" s="1"/>
  <c r="ED67" i="1"/>
  <c r="Q104" i="1"/>
  <c r="BU31" i="1"/>
  <c r="BU207" i="1" s="1"/>
  <c r="BT114" i="1"/>
  <c r="BT113" i="1" s="1"/>
  <c r="AZ113" i="1"/>
  <c r="AY113" i="1" s="1"/>
  <c r="BL113" i="1" s="1"/>
  <c r="AY114" i="1"/>
  <c r="BL114" i="1" s="1"/>
  <c r="DR114" i="1"/>
  <c r="DS113" i="1"/>
  <c r="DR113" i="1" s="1"/>
  <c r="DJ125" i="1"/>
  <c r="DI125" i="1" s="1"/>
  <c r="Q136" i="1"/>
  <c r="ES217" i="1"/>
  <c r="ET216" i="1"/>
  <c r="ES216" i="1" s="1"/>
  <c r="ED229" i="1"/>
  <c r="EE228" i="1"/>
  <c r="ED228" i="1" s="1"/>
  <c r="HS238" i="1"/>
  <c r="IB238" i="1"/>
  <c r="Q267" i="1"/>
  <c r="P267" i="1"/>
  <c r="N267" i="1" s="1"/>
  <c r="N35" i="1"/>
  <c r="W35" i="1"/>
  <c r="AX31" i="1"/>
  <c r="AX207" i="1" s="1"/>
  <c r="BN31" i="1"/>
  <c r="BN207" i="1" s="1"/>
  <c r="BR31" i="1"/>
  <c r="BR207" i="1" s="1"/>
  <c r="BZ31" i="1"/>
  <c r="BZ207" i="1" s="1"/>
  <c r="FF31" i="1"/>
  <c r="AC65" i="1"/>
  <c r="BV91" i="1"/>
  <c r="CQ91" i="1"/>
  <c r="DG104" i="1"/>
  <c r="DF104" i="1" s="1"/>
  <c r="W105" i="1"/>
  <c r="BS105" i="1"/>
  <c r="BS31" i="1" s="1"/>
  <c r="AS119" i="1"/>
  <c r="IB120" i="1"/>
  <c r="IA120" i="1" s="1"/>
  <c r="CQ176" i="1"/>
  <c r="HZ188" i="1"/>
  <c r="HW188" i="1" s="1"/>
  <c r="HW172" i="1" s="1"/>
  <c r="IA188" i="1"/>
  <c r="IA172" i="1" s="1"/>
  <c r="HS192" i="1"/>
  <c r="HT191" i="1"/>
  <c r="HS191" i="1" s="1"/>
  <c r="FO193" i="1"/>
  <c r="FH193" i="1"/>
  <c r="FG193" i="1" s="1"/>
  <c r="FP192" i="1"/>
  <c r="DJ219" i="1"/>
  <c r="DG219" i="1" s="1"/>
  <c r="DF219" i="1" s="1"/>
  <c r="CX217" i="1"/>
  <c r="CX216" i="1" s="1"/>
  <c r="CX213" i="1" s="1"/>
  <c r="CX285" i="1" s="1"/>
  <c r="CM224" i="1"/>
  <c r="FJ287" i="1"/>
  <c r="FJ357" i="1" s="1"/>
  <c r="FJ27" i="1" s="1"/>
  <c r="FJ253" i="1"/>
  <c r="FG253" i="1" s="1"/>
  <c r="CA267" i="1"/>
  <c r="BY267" i="1" s="1"/>
  <c r="CB267" i="1"/>
  <c r="ET270" i="1"/>
  <c r="ES270" i="1" s="1"/>
  <c r="EG270" i="1"/>
  <c r="EG269" i="1" s="1"/>
  <c r="EH269" i="1"/>
  <c r="FC277" i="1"/>
  <c r="FK280" i="1"/>
  <c r="FL279" i="1"/>
  <c r="FK279" i="1" s="1"/>
  <c r="O313" i="1"/>
  <c r="I313" i="1"/>
  <c r="K313" i="1"/>
  <c r="BF397" i="1"/>
  <c r="BF14" i="1" s="1"/>
  <c r="HX382" i="1"/>
  <c r="HW382" i="1" s="1"/>
  <c r="IA382" i="1"/>
  <c r="K35" i="1"/>
  <c r="BD31" i="1"/>
  <c r="BD207" i="1" s="1"/>
  <c r="AV105" i="1"/>
  <c r="AV31" i="1" s="1"/>
  <c r="AV207" i="1" s="1"/>
  <c r="BB105" i="1"/>
  <c r="BB31" i="1" s="1"/>
  <c r="BB207" i="1" s="1"/>
  <c r="O110" i="1"/>
  <c r="N110" i="1" s="1"/>
  <c r="CL116" i="1"/>
  <c r="CK116" i="1" s="1"/>
  <c r="DL182" i="1"/>
  <c r="DM180" i="1"/>
  <c r="DM203" i="1" s="1"/>
  <c r="EM12" i="1"/>
  <c r="Q217" i="1"/>
  <c r="S216" i="1"/>
  <c r="S213" i="1" s="1"/>
  <c r="BV218" i="1"/>
  <c r="CF218" i="1" s="1"/>
  <c r="BW217" i="1"/>
  <c r="BW216" i="1" s="1"/>
  <c r="HY286" i="1"/>
  <c r="HG274" i="1"/>
  <c r="HJ269" i="1"/>
  <c r="HJ286" i="1" s="1"/>
  <c r="FH305" i="1"/>
  <c r="FG305" i="1" s="1"/>
  <c r="FO305" i="1"/>
  <c r="GU350" i="1"/>
  <c r="GV349" i="1"/>
  <c r="GV348" i="1" s="1"/>
  <c r="FH353" i="1"/>
  <c r="FG353" i="1" s="1"/>
  <c r="HQ285" i="1"/>
  <c r="ED274" i="1"/>
  <c r="DS303" i="1"/>
  <c r="DR303" i="1" s="1"/>
  <c r="BY305" i="1"/>
  <c r="X397" i="1"/>
  <c r="FB359" i="1"/>
  <c r="FB397" i="1" s="1"/>
  <c r="FB14" i="1" s="1"/>
  <c r="ES139" i="1"/>
  <c r="CW152" i="1"/>
  <c r="T180" i="1"/>
  <c r="EK183" i="1"/>
  <c r="EW183" i="1"/>
  <c r="AA359" i="1"/>
  <c r="AA397" i="1" s="1"/>
  <c r="AA14" i="1" s="1"/>
  <c r="AG359" i="1"/>
  <c r="AG397" i="1" s="1"/>
  <c r="AG14" i="1" s="1"/>
  <c r="EP359" i="1"/>
  <c r="EP397" i="1" s="1"/>
  <c r="EP14" i="1" s="1"/>
  <c r="FP359" i="1"/>
  <c r="FP397" i="1" s="1"/>
  <c r="HH359" i="1"/>
  <c r="HH397" i="1" s="1"/>
  <c r="HP359" i="1"/>
  <c r="HP397" i="1" s="1"/>
  <c r="HX359" i="1"/>
  <c r="HX397" i="1" s="1"/>
  <c r="Q269" i="1"/>
  <c r="CK270" i="1"/>
  <c r="FP319" i="1"/>
  <c r="FO319" i="1" s="1"/>
  <c r="GL319" i="1"/>
  <c r="H395" i="1"/>
  <c r="EV364" i="1"/>
  <c r="EN364" i="1" s="1"/>
  <c r="EG371" i="1"/>
  <c r="CZ387" i="1"/>
  <c r="DX387" i="1"/>
  <c r="DX15" i="1" s="1"/>
  <c r="HH113" i="1"/>
  <c r="HG113" i="1" s="1"/>
  <c r="CZ119" i="1"/>
  <c r="HH121" i="1"/>
  <c r="HH120" i="1" s="1"/>
  <c r="HO121" i="1"/>
  <c r="EK194" i="1"/>
  <c r="EL192" i="1"/>
  <c r="HH220" i="1"/>
  <c r="HG220" i="1" s="1"/>
  <c r="HO220" i="1"/>
  <c r="H228" i="1"/>
  <c r="FH273" i="1"/>
  <c r="FG273" i="1" s="1"/>
  <c r="FO273" i="1"/>
  <c r="HQ290" i="1"/>
  <c r="EK353" i="1"/>
  <c r="EL352" i="1"/>
  <c r="EL23" i="1" s="1"/>
  <c r="H64" i="1"/>
  <c r="BY64" i="1"/>
  <c r="CK64" i="1"/>
  <c r="AS65" i="1"/>
  <c r="DG111" i="1"/>
  <c r="DG110" i="1" s="1"/>
  <c r="DF110" i="1" s="1"/>
  <c r="AF113" i="1"/>
  <c r="ED114" i="1"/>
  <c r="AV118" i="1"/>
  <c r="AY119" i="1"/>
  <c r="BL119" i="1" s="1"/>
  <c r="FH121" i="1"/>
  <c r="FG121" i="1" s="1"/>
  <c r="FO121" i="1"/>
  <c r="EO129" i="1"/>
  <c r="DK152" i="1"/>
  <c r="DI152" i="1" s="1"/>
  <c r="DJ158" i="1"/>
  <c r="DI158" i="1" s="1"/>
  <c r="BJ359" i="1"/>
  <c r="BJ29" i="1" s="1"/>
  <c r="BP359" i="1"/>
  <c r="BP29" i="1" s="1"/>
  <c r="DU219" i="1"/>
  <c r="DU217" i="1" s="1"/>
  <c r="DV217" i="1"/>
  <c r="DV216" i="1" s="1"/>
  <c r="DU216" i="1" s="1"/>
  <c r="CK227" i="1"/>
  <c r="CK224" i="1" s="1"/>
  <c r="CL224" i="1"/>
  <c r="DR263" i="1"/>
  <c r="DR288" i="1" s="1"/>
  <c r="BA211" i="1"/>
  <c r="BG137" i="1"/>
  <c r="BE137" i="1" s="1"/>
  <c r="FF27" i="1"/>
  <c r="FF12" i="1" s="1"/>
  <c r="GP357" i="1"/>
  <c r="AK248" i="1"/>
  <c r="Z244" i="1"/>
  <c r="AK244" i="1" s="1"/>
  <c r="E364" i="1"/>
  <c r="E361" i="1" s="1"/>
  <c r="G361" i="1"/>
  <c r="DH364" i="1"/>
  <c r="DF364" i="1" s="1"/>
  <c r="EW116" i="1"/>
  <c r="HX22" i="1"/>
  <c r="HW22" i="1" s="1"/>
  <c r="T59" i="1"/>
  <c r="HL33" i="1"/>
  <c r="HK33" i="1" s="1"/>
  <c r="AS40" i="1"/>
  <c r="BV40" i="1"/>
  <c r="CH40" i="1"/>
  <c r="FK40" i="1"/>
  <c r="E59" i="1"/>
  <c r="X59" i="1"/>
  <c r="W59" i="1" s="1"/>
  <c r="BB59" i="1"/>
  <c r="BT59" i="1"/>
  <c r="DO59" i="1"/>
  <c r="Q65" i="1"/>
  <c r="X113" i="1"/>
  <c r="W113" i="1" s="1"/>
  <c r="AS113" i="1"/>
  <c r="CZ113" i="1"/>
  <c r="CH116" i="1"/>
  <c r="AC116" i="1"/>
  <c r="BF116" i="1"/>
  <c r="BE116" i="1" s="1"/>
  <c r="EL119" i="1"/>
  <c r="EK119" i="1" s="1"/>
  <c r="BY121" i="1"/>
  <c r="HX125" i="1"/>
  <c r="HW125" i="1" s="1"/>
  <c r="HW126" i="1"/>
  <c r="EL129" i="1"/>
  <c r="EK129" i="1" s="1"/>
  <c r="ED130" i="1"/>
  <c r="EE129" i="1"/>
  <c r="ED129" i="1" s="1"/>
  <c r="FH131" i="1"/>
  <c r="FG131" i="1" s="1"/>
  <c r="AY137" i="1"/>
  <c r="BL137" i="1" s="1"/>
  <c r="BL211" i="1" s="1"/>
  <c r="BS137" i="1"/>
  <c r="BS211" i="1" s="1"/>
  <c r="EO150" i="1"/>
  <c r="FJ152" i="1"/>
  <c r="FG152" i="1" s="1"/>
  <c r="DF162" i="1"/>
  <c r="HS198" i="1"/>
  <c r="HT197" i="1"/>
  <c r="HS197" i="1" s="1"/>
  <c r="AW219" i="1"/>
  <c r="AV219" i="1" s="1"/>
  <c r="AY219" i="1"/>
  <c r="BL219" i="1" s="1"/>
  <c r="FH270" i="1"/>
  <c r="FP269" i="1"/>
  <c r="FC374" i="1"/>
  <c r="FT374" i="1" s="1"/>
  <c r="GP374" i="1"/>
  <c r="GJ378" i="1"/>
  <c r="FT378" i="1"/>
  <c r="GJ382" i="1"/>
  <c r="FT382" i="1"/>
  <c r="BV183" i="1"/>
  <c r="DO183" i="1"/>
  <c r="BM217" i="1"/>
  <c r="BM216" i="1" s="1"/>
  <c r="DP224" i="1"/>
  <c r="DO224" i="1" s="1"/>
  <c r="AV230" i="1"/>
  <c r="CK230" i="1"/>
  <c r="HP244" i="1"/>
  <c r="HO244" i="1" s="1"/>
  <c r="CN244" i="1"/>
  <c r="CT248" i="1"/>
  <c r="CT244" i="1" s="1"/>
  <c r="HO248" i="1"/>
  <c r="IA267" i="1"/>
  <c r="IA263" i="1" s="1"/>
  <c r="IA288" i="1" s="1"/>
  <c r="CA269" i="1"/>
  <c r="CW269" i="1"/>
  <c r="GD269" i="1"/>
  <c r="HM286" i="1"/>
  <c r="AC269" i="1"/>
  <c r="O269" i="1"/>
  <c r="BB269" i="1"/>
  <c r="GB272" i="1"/>
  <c r="GB275" i="1"/>
  <c r="I269" i="1"/>
  <c r="FB364" i="1"/>
  <c r="EZ364" i="1" s="1"/>
  <c r="HN364" i="1"/>
  <c r="HN362" i="1" s="1"/>
  <c r="HN361" i="1" s="1"/>
  <c r="FT380" i="1"/>
  <c r="GJ380" i="1"/>
  <c r="IA381" i="1"/>
  <c r="ET383" i="1"/>
  <c r="EL383" i="1" s="1"/>
  <c r="EK383" i="1" s="1"/>
  <c r="DI395" i="1"/>
  <c r="GO14" i="1"/>
  <c r="GI14" i="1" s="1"/>
  <c r="J217" i="1"/>
  <c r="J216" i="1" s="1"/>
  <c r="EE219" i="1"/>
  <c r="ED219" i="1" s="1"/>
  <c r="AC263" i="1"/>
  <c r="AC288" i="1" s="1"/>
  <c r="AC359" i="1" s="1"/>
  <c r="AC397" i="1" s="1"/>
  <c r="AC14" i="1" s="1"/>
  <c r="EU285" i="1"/>
  <c r="GF269" i="1"/>
  <c r="FE286" i="1"/>
  <c r="GB270" i="1"/>
  <c r="GB273" i="1"/>
  <c r="IA364" i="1"/>
  <c r="FF371" i="1"/>
  <c r="FT381" i="1"/>
  <c r="GJ381" i="1"/>
  <c r="FT383" i="1"/>
  <c r="GJ383" i="1"/>
  <c r="CH119" i="1"/>
  <c r="CZ150" i="1"/>
  <c r="DI150" i="1"/>
  <c r="EK150" i="1"/>
  <c r="ES154" i="1"/>
  <c r="DL162" i="1"/>
  <c r="HH183" i="1"/>
  <c r="AC216" i="1"/>
  <c r="N221" i="1"/>
  <c r="CQ224" i="1"/>
  <c r="EQ285" i="1"/>
  <c r="EQ355" i="1" s="1"/>
  <c r="EQ25" i="1" s="1"/>
  <c r="CP244" i="1"/>
  <c r="ID263" i="1"/>
  <c r="ID288" i="1" s="1"/>
  <c r="BH263" i="1"/>
  <c r="BH288" i="1" s="1"/>
  <c r="BH359" i="1" s="1"/>
  <c r="BH29" i="1" s="1"/>
  <c r="N270" i="1"/>
  <c r="W270" i="1"/>
  <c r="FK269" i="1"/>
  <c r="GB271" i="1"/>
  <c r="CH269" i="1"/>
  <c r="GB276" i="1"/>
  <c r="FC282" i="1"/>
  <c r="V310" i="1"/>
  <c r="HN310" i="1"/>
  <c r="S361" i="1"/>
  <c r="GL362" i="1"/>
  <c r="EI361" i="1"/>
  <c r="FI361" i="1"/>
  <c r="FA377" i="1"/>
  <c r="EZ377" i="1" s="1"/>
  <c r="FV377" i="1"/>
  <c r="GL377" i="1"/>
  <c r="HT361" i="1"/>
  <c r="GJ379" i="1"/>
  <c r="FT379" i="1"/>
  <c r="BZ387" i="1"/>
  <c r="BZ15" i="1" s="1"/>
  <c r="EY292" i="1"/>
  <c r="FN292" i="1"/>
  <c r="CW150" i="1"/>
  <c r="DL150" i="1"/>
  <c r="EW150" i="1"/>
  <c r="DF152" i="1"/>
  <c r="DI153" i="1"/>
  <c r="EV157" i="1"/>
  <c r="ER157" i="1" s="1"/>
  <c r="EO157" i="1" s="1"/>
  <c r="DH158" i="1"/>
  <c r="DF158" i="1" s="1"/>
  <c r="EK158" i="1"/>
  <c r="FK158" i="1"/>
  <c r="FO159" i="1"/>
  <c r="FO158" i="1" s="1"/>
  <c r="EK162" i="1"/>
  <c r="CZ142" i="1"/>
  <c r="DX142" i="1"/>
  <c r="ES146" i="1"/>
  <c r="DO150" i="1"/>
  <c r="HN150" i="1"/>
  <c r="HK150" i="1" s="1"/>
  <c r="CZ152" i="1"/>
  <c r="FN157" i="1"/>
  <c r="FK157" i="1" s="1"/>
  <c r="DU162" i="1"/>
  <c r="DI167" i="1"/>
  <c r="DI166" i="1" s="1"/>
  <c r="DR167" i="1"/>
  <c r="DR166" i="1" s="1"/>
  <c r="IA169" i="1"/>
  <c r="FR172" i="1"/>
  <c r="FO172" i="1" s="1"/>
  <c r="CR310" i="1"/>
  <c r="BV295" i="1"/>
  <c r="CF295" i="1" s="1"/>
  <c r="AW304" i="1"/>
  <c r="HL293" i="1"/>
  <c r="HK293" i="1" s="1"/>
  <c r="BT304" i="1"/>
  <c r="BS304" i="1" s="1"/>
  <c r="AJ293" i="1"/>
  <c r="HK37" i="1"/>
  <c r="ET52" i="1"/>
  <c r="ET51" i="1" s="1"/>
  <c r="ES51" i="1" s="1"/>
  <c r="EV22" i="1"/>
  <c r="ES22" i="1" s="1"/>
  <c r="HZ310" i="1"/>
  <c r="CQ295" i="1"/>
  <c r="BG301" i="1"/>
  <c r="DY310" i="1"/>
  <c r="FL22" i="1"/>
  <c r="FK22" i="1" s="1"/>
  <c r="FD22" i="1"/>
  <c r="FC22" i="1" s="1"/>
  <c r="FT22" i="1" s="1"/>
  <c r="GX292" i="1"/>
  <c r="K295" i="1"/>
  <c r="T295" i="1"/>
  <c r="I295" i="1"/>
  <c r="P295" i="1"/>
  <c r="Y295" i="1"/>
  <c r="AS293" i="1"/>
  <c r="BH298" i="1"/>
  <c r="CC310" i="1"/>
  <c r="CB310" i="1" s="1"/>
  <c r="DZ310" i="1"/>
  <c r="HP310" i="1"/>
  <c r="HO310" i="1" s="1"/>
  <c r="BP310" i="1"/>
  <c r="HT23" i="1"/>
  <c r="ES352" i="1"/>
  <c r="ES23" i="1" s="1"/>
  <c r="GL352" i="1"/>
  <c r="GD352" i="1"/>
  <c r="EN354" i="1"/>
  <c r="IB352" i="1"/>
  <c r="CH293" i="1"/>
  <c r="ID310" i="1"/>
  <c r="DB292" i="1"/>
  <c r="DW292" i="1"/>
  <c r="BV294" i="1"/>
  <c r="CF294" i="1" s="1"/>
  <c r="DO295" i="1"/>
  <c r="AV296" i="1"/>
  <c r="E298" i="1"/>
  <c r="Q298" i="1"/>
  <c r="CK303" i="1"/>
  <c r="DX301" i="1"/>
  <c r="AP310" i="1"/>
  <c r="CJ310" i="1"/>
  <c r="O294" i="1"/>
  <c r="X295" i="1"/>
  <c r="DA310" i="1"/>
  <c r="EH310" i="1"/>
  <c r="EG310" i="1" s="1"/>
  <c r="GV292" i="1"/>
  <c r="GU292" i="1" s="1"/>
  <c r="F292" i="1"/>
  <c r="BI292" i="1"/>
  <c r="DA294" i="1"/>
  <c r="CZ294" i="1" s="1"/>
  <c r="FL294" i="1"/>
  <c r="FL292" i="1" s="1"/>
  <c r="CW295" i="1"/>
  <c r="Z294" i="1"/>
  <c r="EO298" i="1"/>
  <c r="AC294" i="1"/>
  <c r="J301" i="1"/>
  <c r="ED302" i="1"/>
  <c r="AY301" i="1"/>
  <c r="BL301" i="1" s="1"/>
  <c r="FQ290" i="1"/>
  <c r="DZ292" i="1"/>
  <c r="O295" i="1"/>
  <c r="AW295" i="1"/>
  <c r="DA298" i="1"/>
  <c r="CZ298" i="1" s="1"/>
  <c r="CH301" i="1"/>
  <c r="DG313" i="1"/>
  <c r="CL293" i="1"/>
  <c r="CL292" i="1" s="1"/>
  <c r="EA294" i="1"/>
  <c r="EA292" i="1" s="1"/>
  <c r="FA294" i="1"/>
  <c r="EZ294" i="1" s="1"/>
  <c r="DX295" i="1"/>
  <c r="BB298" i="1"/>
  <c r="Q301" i="1"/>
  <c r="BY302" i="1"/>
  <c r="DI302" i="1"/>
  <c r="CI310" i="1"/>
  <c r="ET310" i="1"/>
  <c r="ES310" i="1" s="1"/>
  <c r="HV310" i="1"/>
  <c r="S292" i="1"/>
  <c r="EX292" i="1"/>
  <c r="E294" i="1"/>
  <c r="DX294" i="1"/>
  <c r="HH294" i="1"/>
  <c r="HG294" i="1" s="1"/>
  <c r="Z295" i="1"/>
  <c r="K298" i="1"/>
  <c r="AS298" i="1"/>
  <c r="BV298" i="1"/>
  <c r="CF298" i="1" s="1"/>
  <c r="CH298" i="1"/>
  <c r="HK299" i="1"/>
  <c r="HX299" i="1"/>
  <c r="HW299" i="1" s="1"/>
  <c r="CB301" i="1"/>
  <c r="AV306" i="1"/>
  <c r="P293" i="1"/>
  <c r="E295" i="1"/>
  <c r="CB294" i="1"/>
  <c r="BH293" i="1"/>
  <c r="EE294" i="1"/>
  <c r="ED294" i="1" s="1"/>
  <c r="BE303" i="1"/>
  <c r="GX310" i="1"/>
  <c r="O298" i="1"/>
  <c r="FK293" i="1"/>
  <c r="AZ293" i="1"/>
  <c r="AZ292" i="1" s="1"/>
  <c r="X294" i="1"/>
  <c r="AY295" i="1"/>
  <c r="BG294" i="1"/>
  <c r="CH294" i="1"/>
  <c r="AZ298" i="1"/>
  <c r="AY298" i="1" s="1"/>
  <c r="BL298" i="1" s="1"/>
  <c r="Z293" i="1"/>
  <c r="AX298" i="1"/>
  <c r="ED303" i="1"/>
  <c r="H306" i="1"/>
  <c r="EX310" i="1"/>
  <c r="DW310" i="1"/>
  <c r="DV292" i="1"/>
  <c r="EC292" i="1"/>
  <c r="EC290" i="1" s="1"/>
  <c r="EC354" i="1" s="1"/>
  <c r="ER292" i="1"/>
  <c r="HZ292" i="1"/>
  <c r="EW294" i="1"/>
  <c r="Q295" i="1"/>
  <c r="AC295" i="1"/>
  <c r="BY296" i="1"/>
  <c r="CW298" i="1"/>
  <c r="DX298" i="1"/>
  <c r="EW298" i="1"/>
  <c r="AY299" i="1"/>
  <c r="BL299" i="1" s="1"/>
  <c r="BL293" i="1" s="1"/>
  <c r="BG298" i="1"/>
  <c r="EW301" i="1"/>
  <c r="AC301" i="1"/>
  <c r="ED304" i="1"/>
  <c r="HH304" i="1"/>
  <c r="HG304" i="1" s="1"/>
  <c r="H305" i="1"/>
  <c r="BE306" i="1"/>
  <c r="AR317" i="1"/>
  <c r="AF319" i="1"/>
  <c r="HJ310" i="1"/>
  <c r="BP293" i="1"/>
  <c r="DY292" i="1"/>
  <c r="BF295" i="1"/>
  <c r="CT294" i="1"/>
  <c r="T298" i="1"/>
  <c r="CT298" i="1"/>
  <c r="I298" i="1"/>
  <c r="P298" i="1"/>
  <c r="AJ298" i="1"/>
  <c r="BY300" i="1"/>
  <c r="AJ301" i="1"/>
  <c r="AK303" i="1"/>
  <c r="AL303" i="1" s="1"/>
  <c r="EY310" i="1"/>
  <c r="DI332" i="1"/>
  <c r="HX348" i="1"/>
  <c r="HW348" i="1" s="1"/>
  <c r="EL22" i="1"/>
  <c r="CW23" i="1"/>
  <c r="GN346" i="1"/>
  <c r="HW346" i="1"/>
  <c r="GJ347" i="1"/>
  <c r="FK216" i="1"/>
  <c r="BB217" i="1"/>
  <c r="BE219" i="1"/>
  <c r="EG219" i="1"/>
  <c r="H221" i="1"/>
  <c r="P217" i="1"/>
  <c r="N217" i="1" s="1"/>
  <c r="CO216" i="1"/>
  <c r="CN216" i="1" s="1"/>
  <c r="EO217" i="1"/>
  <c r="EO183" i="1"/>
  <c r="EY175" i="1"/>
  <c r="CW180" i="1"/>
  <c r="CC180" i="1"/>
  <c r="CB180" i="1" s="1"/>
  <c r="CF180" i="1" s="1"/>
  <c r="K176" i="1"/>
  <c r="AS180" i="1"/>
  <c r="CH180" i="1"/>
  <c r="CQ180" i="1"/>
  <c r="DI180" i="1"/>
  <c r="Q183" i="1"/>
  <c r="CW183" i="1"/>
  <c r="DL183" i="1"/>
  <c r="DR183" i="1"/>
  <c r="FD203" i="1"/>
  <c r="FC203" i="1" s="1"/>
  <c r="E176" i="1"/>
  <c r="AW183" i="1"/>
  <c r="AV183" i="1" s="1"/>
  <c r="DK175" i="1"/>
  <c r="CH176" i="1"/>
  <c r="DL176" i="1"/>
  <c r="DL197" i="1" s="1"/>
  <c r="E183" i="1"/>
  <c r="DJ175" i="1"/>
  <c r="Q176" i="1"/>
  <c r="CB176" i="1"/>
  <c r="CF176" i="1" s="1"/>
  <c r="BB176" i="1"/>
  <c r="E180" i="1"/>
  <c r="X180" i="1"/>
  <c r="W180" i="1" s="1"/>
  <c r="AF180" i="1"/>
  <c r="AR180" i="1" s="1"/>
  <c r="AY181" i="1"/>
  <c r="T183" i="1"/>
  <c r="FT385" i="1"/>
  <c r="GJ385" i="1"/>
  <c r="GB385" i="1"/>
  <c r="GJ387" i="1"/>
  <c r="FT387" i="1"/>
  <c r="HP348" i="1"/>
  <c r="HO348" i="1" s="1"/>
  <c r="IB348" i="1"/>
  <c r="IA348" i="1" s="1"/>
  <c r="GL349" i="1"/>
  <c r="DL302" i="1"/>
  <c r="DM293" i="1"/>
  <c r="FE354" i="1"/>
  <c r="GL301" i="1"/>
  <c r="G292" i="1"/>
  <c r="BT293" i="1"/>
  <c r="BZ293" i="1"/>
  <c r="IB293" i="1"/>
  <c r="IA293" i="1" s="1"/>
  <c r="EL294" i="1"/>
  <c r="GL294" i="1"/>
  <c r="DJ295" i="1"/>
  <c r="DI295" i="1" s="1"/>
  <c r="H296" i="1"/>
  <c r="BB293" i="1"/>
  <c r="I293" i="1"/>
  <c r="J298" i="1"/>
  <c r="BP294" i="1"/>
  <c r="CA298" i="1"/>
  <c r="CM298" i="1"/>
  <c r="CB293" i="1"/>
  <c r="CO303" i="1"/>
  <c r="CN303" i="1" s="1"/>
  <c r="FL304" i="1"/>
  <c r="FK304" i="1" s="1"/>
  <c r="AV305" i="1"/>
  <c r="CK305" i="1"/>
  <c r="FC308" i="1"/>
  <c r="GL308" i="1"/>
  <c r="DB310" i="1"/>
  <c r="DP310" i="1"/>
  <c r="DO310" i="1" s="1"/>
  <c r="EJ310" i="1"/>
  <c r="DI319" i="1"/>
  <c r="GJ332" i="1"/>
  <c r="GB332" i="1"/>
  <c r="N296" i="1"/>
  <c r="CW294" i="1"/>
  <c r="DO301" i="1"/>
  <c r="P301" i="1"/>
  <c r="Y301" i="1"/>
  <c r="GL304" i="1"/>
  <c r="GD304" i="1"/>
  <c r="CZ293" i="1"/>
  <c r="DO293" i="1"/>
  <c r="CS310" i="1"/>
  <c r="HJ292" i="1"/>
  <c r="HT292" i="1"/>
  <c r="HS292" i="1" s="1"/>
  <c r="AX294" i="1"/>
  <c r="AV294" i="1" s="1"/>
  <c r="BZ294" i="1"/>
  <c r="AS295" i="1"/>
  <c r="CH295" i="1"/>
  <c r="CZ295" i="1"/>
  <c r="EO295" i="1"/>
  <c r="BE296" i="1"/>
  <c r="BB294" i="1"/>
  <c r="DO294" i="1"/>
  <c r="FK294" i="1"/>
  <c r="CB298" i="1"/>
  <c r="CQ298" i="1"/>
  <c r="GL298" i="1"/>
  <c r="N302" i="1"/>
  <c r="W302" i="1"/>
  <c r="CT293" i="1"/>
  <c r="HO303" i="1"/>
  <c r="N305" i="1"/>
  <c r="N306" i="1"/>
  <c r="AS294" i="1"/>
  <c r="GJ309" i="1"/>
  <c r="AT310" i="1"/>
  <c r="HM332" i="1"/>
  <c r="HK332" i="1" s="1"/>
  <c r="EK250" i="1"/>
  <c r="GB249" i="1"/>
  <c r="I236" i="1"/>
  <c r="FC226" i="1"/>
  <c r="DM224" i="1"/>
  <c r="DL224" i="1" s="1"/>
  <c r="EO224" i="1"/>
  <c r="BM224" i="1"/>
  <c r="FA226" i="1"/>
  <c r="EZ226" i="1" s="1"/>
  <c r="FH226" i="1"/>
  <c r="FG226" i="1" s="1"/>
  <c r="Y217" i="1"/>
  <c r="Y216" i="1" s="1"/>
  <c r="BI219" i="1"/>
  <c r="BZ219" i="1" s="1"/>
  <c r="BY219" i="1" s="1"/>
  <c r="EL219" i="1"/>
  <c r="EL217" i="1" s="1"/>
  <c r="DB213" i="1"/>
  <c r="DB285" i="1" s="1"/>
  <c r="EO216" i="1"/>
  <c r="T216" i="1"/>
  <c r="EN217" i="1"/>
  <c r="EN216" i="1" s="1"/>
  <c r="EN213" i="1" s="1"/>
  <c r="IB191" i="1"/>
  <c r="IA191" i="1" s="1"/>
  <c r="HP191" i="1"/>
  <c r="HO191" i="1" s="1"/>
  <c r="EX105" i="1"/>
  <c r="DG129" i="1"/>
  <c r="DF129" i="1" s="1"/>
  <c r="DS129" i="1"/>
  <c r="DR129" i="1" s="1"/>
  <c r="EY105" i="1"/>
  <c r="CQ119" i="1"/>
  <c r="ET123" i="1"/>
  <c r="ES123" i="1" s="1"/>
  <c r="IA121" i="1"/>
  <c r="BI114" i="1"/>
  <c r="CB91" i="1"/>
  <c r="CF91" i="1" s="1"/>
  <c r="DX91" i="1"/>
  <c r="E91" i="1"/>
  <c r="Q91" i="1"/>
  <c r="EO65" i="1"/>
  <c r="HO64" i="1"/>
  <c r="K59" i="1"/>
  <c r="EW59" i="1"/>
  <c r="ES61" i="1"/>
  <c r="GI356" i="1"/>
  <c r="GK11" i="1"/>
  <c r="GK10" i="1" s="1"/>
  <c r="GI8" i="1"/>
  <c r="DG328" i="1"/>
  <c r="DF328" i="1" s="1"/>
  <c r="BR310" i="1"/>
  <c r="M310" i="1"/>
  <c r="BJ310" i="1"/>
  <c r="BO310" i="1"/>
  <c r="AH310" i="1"/>
  <c r="EK138" i="1"/>
  <c r="FK138" i="1"/>
  <c r="EZ137" i="1"/>
  <c r="EZ211" i="1" s="1"/>
  <c r="DX138" i="1"/>
  <c r="DU138" i="1"/>
  <c r="GB250" i="1"/>
  <c r="GB302" i="1"/>
  <c r="GJ302" i="1"/>
  <c r="GJ313" i="1"/>
  <c r="GJ352" i="1"/>
  <c r="GB352" i="1"/>
  <c r="GJ353" i="1"/>
  <c r="GB353" i="1"/>
  <c r="GB225" i="1"/>
  <c r="GJ322" i="1"/>
  <c r="GJ350" i="1"/>
  <c r="GD350" i="1"/>
  <c r="GB350" i="1"/>
  <c r="GB227" i="1"/>
  <c r="GB297" i="1"/>
  <c r="GJ297" i="1"/>
  <c r="GB299" i="1"/>
  <c r="GJ299" i="1"/>
  <c r="GB300" i="1"/>
  <c r="GJ300" i="1"/>
  <c r="GB303" i="1"/>
  <c r="GJ303" i="1"/>
  <c r="GJ305" i="1"/>
  <c r="GB305" i="1"/>
  <c r="GJ316" i="1"/>
  <c r="GJ306" i="1"/>
  <c r="GB306" i="1"/>
  <c r="GJ326" i="1"/>
  <c r="GJ328" i="1"/>
  <c r="GJ351" i="1"/>
  <c r="GD351" i="1"/>
  <c r="GB351" i="1"/>
  <c r="CQ236" i="1"/>
  <c r="N242" i="1"/>
  <c r="W242" i="1"/>
  <c r="BT242" i="1"/>
  <c r="BS242" i="1" s="1"/>
  <c r="CT236" i="1"/>
  <c r="GB238" i="1"/>
  <c r="HL236" i="1"/>
  <c r="HK236" i="1" s="1"/>
  <c r="AC236" i="1"/>
  <c r="GB239" i="1"/>
  <c r="DY35" i="1"/>
  <c r="CL44" i="1"/>
  <c r="CK44" i="1" s="1"/>
  <c r="EL45" i="1"/>
  <c r="EK45" i="1" s="1"/>
  <c r="I44" i="1"/>
  <c r="H44" i="1" s="1"/>
  <c r="HS37" i="1"/>
  <c r="DU44" i="1"/>
  <c r="DU35" i="1" s="1"/>
  <c r="FF362" i="1"/>
  <c r="FZ362" i="1" s="1"/>
  <c r="HV362" i="1"/>
  <c r="HV361" i="1" s="1"/>
  <c r="GF290" i="1"/>
  <c r="FI290" i="1"/>
  <c r="EU332" i="1"/>
  <c r="EM332" i="1" s="1"/>
  <c r="EK332" i="1" s="1"/>
  <c r="ES332" i="1" s="1"/>
  <c r="GF332" i="1"/>
  <c r="E224" i="1"/>
  <c r="BQ292" i="1"/>
  <c r="DU293" i="1"/>
  <c r="T224" i="1"/>
  <c r="CS292" i="1"/>
  <c r="FO323" i="1"/>
  <c r="BM292" i="1"/>
  <c r="BX292" i="1"/>
  <c r="BX290" i="1" s="1"/>
  <c r="ED300" i="1"/>
  <c r="FC304" i="1"/>
  <c r="FT304" i="1" s="1"/>
  <c r="FP301" i="1"/>
  <c r="FO301" i="1" s="1"/>
  <c r="FC298" i="1"/>
  <c r="FT298" i="1" s="1"/>
  <c r="GD298" i="1"/>
  <c r="FC294" i="1"/>
  <c r="FT294" i="1" s="1"/>
  <c r="GD294" i="1"/>
  <c r="FD217" i="1"/>
  <c r="CK238" i="1"/>
  <c r="CU236" i="1"/>
  <c r="N239" i="1"/>
  <c r="FA242" i="1"/>
  <c r="EZ242" i="1" s="1"/>
  <c r="AV236" i="1"/>
  <c r="O236" i="1"/>
  <c r="CF236" i="1"/>
  <c r="DL236" i="1"/>
  <c r="BG236" i="1"/>
  <c r="CZ236" i="1"/>
  <c r="CB236" i="1"/>
  <c r="FP224" i="1"/>
  <c r="FO224" i="1" s="1"/>
  <c r="FO225" i="1"/>
  <c r="FN169" i="1"/>
  <c r="FK169" i="1" s="1"/>
  <c r="FK168" i="1" s="1"/>
  <c r="CV166" i="1"/>
  <c r="DK166" i="1"/>
  <c r="ID168" i="1"/>
  <c r="IA168" i="1" s="1"/>
  <c r="DX158" i="1"/>
  <c r="DX162" i="1"/>
  <c r="CZ158" i="1"/>
  <c r="FR158" i="1"/>
  <c r="FG150" i="1"/>
  <c r="DU150" i="1"/>
  <c r="HW151" i="1"/>
  <c r="DL142" i="1"/>
  <c r="EG142" i="1"/>
  <c r="DR138" i="1"/>
  <c r="EW138" i="1"/>
  <c r="DR139" i="1"/>
  <c r="K44" i="1"/>
  <c r="BV44" i="1"/>
  <c r="DX44" i="1"/>
  <c r="GX31" i="1"/>
  <c r="BE136" i="1"/>
  <c r="O91" i="1"/>
  <c r="N91" i="1" s="1"/>
  <c r="FH51" i="1"/>
  <c r="FG51" i="1" s="1"/>
  <c r="T91" i="1"/>
  <c r="FH97" i="1"/>
  <c r="FH96" i="1" s="1"/>
  <c r="FG96" i="1" s="1"/>
  <c r="FO37" i="1"/>
  <c r="T65" i="1"/>
  <c r="AY65" i="1"/>
  <c r="K91" i="1"/>
  <c r="DL91" i="1"/>
  <c r="EO91" i="1"/>
  <c r="FH78" i="1"/>
  <c r="FG78" i="1" s="1"/>
  <c r="HX88" i="1"/>
  <c r="HW88" i="1" s="1"/>
  <c r="HR31" i="1"/>
  <c r="EJ31" i="1"/>
  <c r="CB59" i="1"/>
  <c r="CF59" i="1" s="1"/>
  <c r="K51" i="1"/>
  <c r="K211" i="1" s="1"/>
  <c r="CZ51" i="1"/>
  <c r="CZ191" i="1" s="1"/>
  <c r="DP51" i="1"/>
  <c r="DP191" i="1" s="1"/>
  <c r="AY59" i="1"/>
  <c r="DF59" i="1"/>
  <c r="DX59" i="1"/>
  <c r="T44" i="1"/>
  <c r="EP90" i="1"/>
  <c r="EP88" i="1" s="1"/>
  <c r="EO88" i="1" s="1"/>
  <c r="EW51" i="1"/>
  <c r="BH44" i="1"/>
  <c r="ED46" i="1"/>
  <c r="EG52" i="1"/>
  <c r="BT91" i="1"/>
  <c r="BS93" i="1"/>
  <c r="BS91" i="1" s="1"/>
  <c r="X91" i="1"/>
  <c r="W91" i="1" s="1"/>
  <c r="BL93" i="1"/>
  <c r="I40" i="1"/>
  <c r="H40" i="1" s="1"/>
  <c r="AF40" i="1"/>
  <c r="AL40" i="1" s="1"/>
  <c r="EO44" i="1"/>
  <c r="DL59" i="1"/>
  <c r="FJ35" i="1"/>
  <c r="FJ31" i="1" s="1"/>
  <c r="O65" i="1"/>
  <c r="N65" i="1" s="1"/>
  <c r="HT36" i="1"/>
  <c r="HS36" i="1" s="1"/>
  <c r="AC40" i="1"/>
  <c r="BZ51" i="1"/>
  <c r="BY51" i="1" s="1"/>
  <c r="AS59" i="1"/>
  <c r="AZ91" i="1"/>
  <c r="AY91" i="1" s="1"/>
  <c r="CS35" i="1"/>
  <c r="CL40" i="1"/>
  <c r="CK40" i="1" s="1"/>
  <c r="CQ44" i="1"/>
  <c r="FD44" i="1"/>
  <c r="GL44" i="1" s="1"/>
  <c r="GV44" i="1"/>
  <c r="GU44" i="1" s="1"/>
  <c r="IB45" i="1"/>
  <c r="IA45" i="1" s="1"/>
  <c r="FH37" i="1"/>
  <c r="FG37" i="1" s="1"/>
  <c r="E51" i="1"/>
  <c r="E211" i="1" s="1"/>
  <c r="BV51" i="1"/>
  <c r="EO51" i="1"/>
  <c r="EO191" i="1" s="1"/>
  <c r="BH59" i="1"/>
  <c r="CZ59" i="1"/>
  <c r="DT35" i="1"/>
  <c r="DT31" i="1" s="1"/>
  <c r="BB65" i="1"/>
  <c r="CH65" i="1"/>
  <c r="EK65" i="1"/>
  <c r="HL65" i="1"/>
  <c r="HK65" i="1" s="1"/>
  <c r="DF70" i="1"/>
  <c r="AF88" i="1"/>
  <c r="Z91" i="1"/>
  <c r="AK91" i="1" s="1"/>
  <c r="AL91" i="1" s="1"/>
  <c r="CH91" i="1"/>
  <c r="CW91" i="1"/>
  <c r="DF91" i="1"/>
  <c r="AY93" i="1"/>
  <c r="H104" i="1"/>
  <c r="HK104" i="1"/>
  <c r="BT88" i="1"/>
  <c r="CB88" i="1"/>
  <c r="CF88" i="1" s="1"/>
  <c r="CQ88" i="1"/>
  <c r="FG88" i="1"/>
  <c r="DR70" i="1"/>
  <c r="DK35" i="1"/>
  <c r="DK31" i="1" s="1"/>
  <c r="CQ65" i="1"/>
  <c r="EW65" i="1"/>
  <c r="FK65" i="1"/>
  <c r="X65" i="1"/>
  <c r="W65" i="1" s="1"/>
  <c r="CZ70" i="1"/>
  <c r="E88" i="1"/>
  <c r="HL88" i="1"/>
  <c r="HK88" i="1" s="1"/>
  <c r="FG89" i="1"/>
  <c r="BZ88" i="1"/>
  <c r="BY88" i="1" s="1"/>
  <c r="BH65" i="1"/>
  <c r="DR74" i="1"/>
  <c r="BV88" i="1"/>
  <c r="DX88" i="1"/>
  <c r="FP65" i="1"/>
  <c r="FO65" i="1" s="1"/>
  <c r="FO68" i="1"/>
  <c r="HH40" i="1"/>
  <c r="HG40" i="1" s="1"/>
  <c r="E40" i="1"/>
  <c r="O40" i="1"/>
  <c r="N40" i="1" s="1"/>
  <c r="CM31" i="1"/>
  <c r="BB40" i="1"/>
  <c r="CQ40" i="1"/>
  <c r="CZ40" i="1"/>
  <c r="HS40" i="1"/>
  <c r="CK41" i="1"/>
  <c r="CJ35" i="1"/>
  <c r="HN31" i="1"/>
  <c r="ID31" i="1"/>
  <c r="FH15" i="1"/>
  <c r="BX15" i="1"/>
  <c r="HP125" i="1"/>
  <c r="HO125" i="1" s="1"/>
  <c r="ES126" i="1"/>
  <c r="HT125" i="1"/>
  <c r="HS125" i="1" s="1"/>
  <c r="EE88" i="1"/>
  <c r="ED88" i="1" s="1"/>
  <c r="EW88" i="1"/>
  <c r="AC88" i="1"/>
  <c r="K88" i="1"/>
  <c r="DO88" i="1"/>
  <c r="CH88" i="1"/>
  <c r="I51" i="1"/>
  <c r="H51" i="1" s="1"/>
  <c r="H211" i="1" s="1"/>
  <c r="AY51" i="1"/>
  <c r="CH51" i="1"/>
  <c r="FO52" i="1"/>
  <c r="ES53" i="1"/>
  <c r="EN35" i="1"/>
  <c r="EN31" i="1" s="1"/>
  <c r="AS44" i="1"/>
  <c r="BB44" i="1"/>
  <c r="CZ44" i="1"/>
  <c r="HK46" i="1"/>
  <c r="FH282" i="1"/>
  <c r="FG282" i="1" s="1"/>
  <c r="GV279" i="1"/>
  <c r="GU279" i="1" s="1"/>
  <c r="FD279" i="1"/>
  <c r="FP279" i="1"/>
  <c r="FO279" i="1" s="1"/>
  <c r="ET282" i="1"/>
  <c r="ET279" i="1" s="1"/>
  <c r="ES279" i="1" s="1"/>
  <c r="HT231" i="1"/>
  <c r="HS231" i="1" s="1"/>
  <c r="DD293" i="1"/>
  <c r="DC293" i="1" s="1"/>
  <c r="ET292" i="1"/>
  <c r="K293" i="1"/>
  <c r="T293" i="1"/>
  <c r="FC301" i="1"/>
  <c r="FT301" i="1" s="1"/>
  <c r="GD301" i="1"/>
  <c r="CW301" i="1"/>
  <c r="EB293" i="1"/>
  <c r="EB292" i="1" s="1"/>
  <c r="EB291" i="1" s="1"/>
  <c r="EB290" i="1" s="1"/>
  <c r="EB354" i="1" s="1"/>
  <c r="HV292" i="1"/>
  <c r="DX293" i="1"/>
  <c r="EW293" i="1"/>
  <c r="E301" i="1"/>
  <c r="AS301" i="1"/>
  <c r="EO301" i="1"/>
  <c r="FK301" i="1"/>
  <c r="CA301" i="1"/>
  <c r="GA354" i="1"/>
  <c r="FA298" i="1"/>
  <c r="EZ298" i="1" s="1"/>
  <c r="K269" i="1"/>
  <c r="BG269" i="1"/>
  <c r="BE272" i="1"/>
  <c r="AP213" i="1"/>
  <c r="AP285" i="1" s="1"/>
  <c r="AP355" i="1" s="1"/>
  <c r="T228" i="1"/>
  <c r="CZ228" i="1"/>
  <c r="N230" i="1"/>
  <c r="BE230" i="1"/>
  <c r="H229" i="1"/>
  <c r="EP213" i="1"/>
  <c r="BP224" i="1"/>
  <c r="BV224" i="1"/>
  <c r="CW224" i="1"/>
  <c r="EO264" i="1"/>
  <c r="EO263" i="1" s="1"/>
  <c r="EO288" i="1" s="1"/>
  <c r="ER263" i="1"/>
  <c r="ER288" i="1" s="1"/>
  <c r="BQ359" i="1"/>
  <c r="BQ29" i="1" s="1"/>
  <c r="DA359" i="1"/>
  <c r="DA29" i="1" s="1"/>
  <c r="T263" i="1"/>
  <c r="T359" i="1" s="1"/>
  <c r="DO263" i="1"/>
  <c r="DO288" i="1" s="1"/>
  <c r="FJ19" i="1"/>
  <c r="FJ17" i="1" s="1"/>
  <c r="AW359" i="1"/>
  <c r="AW397" i="1" s="1"/>
  <c r="AW14" i="1" s="1"/>
  <c r="BI359" i="1"/>
  <c r="BI29" i="1" s="1"/>
  <c r="CC359" i="1"/>
  <c r="CC397" i="1" s="1"/>
  <c r="CC14" i="1" s="1"/>
  <c r="N254" i="1"/>
  <c r="N253" i="1" s="1"/>
  <c r="BB263" i="1"/>
  <c r="BB359" i="1" s="1"/>
  <c r="BB29" i="1" s="1"/>
  <c r="HT20" i="1"/>
  <c r="HS20" i="1" s="1"/>
  <c r="EJ357" i="1"/>
  <c r="EJ27" i="1" s="1"/>
  <c r="EJ12" i="1" s="1"/>
  <c r="HR357" i="1"/>
  <c r="HR27" i="1" s="1"/>
  <c r="HZ357" i="1"/>
  <c r="GV19" i="1"/>
  <c r="GU19" i="1" s="1"/>
  <c r="HG248" i="1"/>
  <c r="GV20" i="1"/>
  <c r="GU20" i="1" s="1"/>
  <c r="HJ357" i="1"/>
  <c r="HJ27" i="1" s="1"/>
  <c r="HJ12" i="1" s="1"/>
  <c r="HL244" i="1"/>
  <c r="HK244" i="1" s="1"/>
  <c r="HS248" i="1"/>
  <c r="FH239" i="1"/>
  <c r="FG239" i="1" s="1"/>
  <c r="HT239" i="1"/>
  <c r="BN213" i="1"/>
  <c r="BN285" i="1" s="1"/>
  <c r="DU239" i="1"/>
  <c r="DU236" i="1" s="1"/>
  <c r="DV236" i="1"/>
  <c r="Z236" i="1"/>
  <c r="AK236" i="1" s="1"/>
  <c r="FL213" i="1"/>
  <c r="FL285" i="1" s="1"/>
  <c r="HH239" i="1"/>
  <c r="HG239" i="1" s="1"/>
  <c r="FC15" i="1"/>
  <c r="GB387" i="1"/>
  <c r="AE15" i="1"/>
  <c r="BR15" i="1"/>
  <c r="CP15" i="1"/>
  <c r="CA387" i="1"/>
  <c r="CU387" i="1" s="1"/>
  <c r="CU15" i="1" s="1"/>
  <c r="CH387" i="1"/>
  <c r="CH15" i="1" s="1"/>
  <c r="FC253" i="1"/>
  <c r="FO21" i="1"/>
  <c r="I253" i="1"/>
  <c r="O253" i="1"/>
  <c r="FL251" i="1"/>
  <c r="FK251" i="1" s="1"/>
  <c r="AS387" i="1"/>
  <c r="AS15" i="1" s="1"/>
  <c r="K224" i="1"/>
  <c r="EQ17" i="1"/>
  <c r="HX19" i="1"/>
  <c r="HW19" i="1" s="1"/>
  <c r="HH20" i="1"/>
  <c r="HG20" i="1" s="1"/>
  <c r="N248" i="1"/>
  <c r="N244" i="1" s="1"/>
  <c r="GU248" i="1"/>
  <c r="HK248" i="1"/>
  <c r="IA248" i="1"/>
  <c r="HP19" i="1"/>
  <c r="HO19" i="1" s="1"/>
  <c r="HX20" i="1"/>
  <c r="HW20" i="1" s="1"/>
  <c r="EV357" i="1"/>
  <c r="EV27" i="1" s="1"/>
  <c r="EV12" i="1" s="1"/>
  <c r="GX357" i="1"/>
  <c r="GX27" i="1" s="1"/>
  <c r="GX12" i="1" s="1"/>
  <c r="AZ244" i="1"/>
  <c r="BL244" i="1" s="1"/>
  <c r="BT244" i="1"/>
  <c r="DF395" i="1"/>
  <c r="BH116" i="1"/>
  <c r="DX116" i="1"/>
  <c r="AY117" i="1"/>
  <c r="BL117" i="1" s="1"/>
  <c r="CW105" i="1"/>
  <c r="CR105" i="1"/>
  <c r="CX105" i="1"/>
  <c r="AS116" i="1"/>
  <c r="CZ116" i="1"/>
  <c r="CH113" i="1"/>
  <c r="DP105" i="1"/>
  <c r="CQ113" i="1"/>
  <c r="AS110" i="1"/>
  <c r="HL110" i="1"/>
  <c r="HK110" i="1" s="1"/>
  <c r="N111" i="1"/>
  <c r="W111" i="1"/>
  <c r="DA105" i="1"/>
  <c r="EP105" i="1"/>
  <c r="FB31" i="1"/>
  <c r="AC110" i="1"/>
  <c r="AY111" i="1"/>
  <c r="BL111" i="1" s="1"/>
  <c r="ED111" i="1"/>
  <c r="BF40" i="1"/>
  <c r="BE40" i="1" s="1"/>
  <c r="ES40" i="1"/>
  <c r="AK42" i="1"/>
  <c r="EO40" i="1"/>
  <c r="HP362" i="1"/>
  <c r="HP361" i="1" s="1"/>
  <c r="HS377" i="1"/>
  <c r="EZ111" i="1"/>
  <c r="FA110" i="1"/>
  <c r="EZ110" i="1" s="1"/>
  <c r="BL294" i="1"/>
  <c r="FO317" i="1"/>
  <c r="FO174" i="1"/>
  <c r="CR292" i="1"/>
  <c r="CV292" i="1"/>
  <c r="CV290" i="1" s="1"/>
  <c r="AU15" i="1"/>
  <c r="E387" i="1"/>
  <c r="BY390" i="1"/>
  <c r="CI390" i="1" s="1"/>
  <c r="CL390" i="1" s="1"/>
  <c r="CK390" i="1" s="1"/>
  <c r="DA390" i="1" s="1"/>
  <c r="CZ390" i="1" s="1"/>
  <c r="DG16" i="1"/>
  <c r="DF16" i="1" s="1"/>
  <c r="BJ15" i="1"/>
  <c r="FD15" i="1"/>
  <c r="FV15" i="1" s="1"/>
  <c r="FP15" i="1"/>
  <c r="EW387" i="1"/>
  <c r="EW15" i="1" s="1"/>
  <c r="BB387" i="1"/>
  <c r="BB15" i="1" s="1"/>
  <c r="AX387" i="1"/>
  <c r="AX15" i="1" s="1"/>
  <c r="CM387" i="1"/>
  <c r="CM15" i="1" s="1"/>
  <c r="BU15" i="1"/>
  <c r="DZ15" i="1"/>
  <c r="BE388" i="1"/>
  <c r="BG387" i="1"/>
  <c r="BG15" i="1" s="1"/>
  <c r="EJ362" i="1"/>
  <c r="EJ361" i="1" s="1"/>
  <c r="FR362" i="1"/>
  <c r="FR361" i="1" s="1"/>
  <c r="DL364" i="1"/>
  <c r="DN11" i="1"/>
  <c r="DL11" i="1" s="1"/>
  <c r="EY361" i="1"/>
  <c r="EY11" i="1" s="1"/>
  <c r="EW11" i="1" s="1"/>
  <c r="P364" i="1"/>
  <c r="N364" i="1" s="1"/>
  <c r="N361" i="1" s="1"/>
  <c r="E269" i="1"/>
  <c r="EG22" i="1"/>
  <c r="FG22" i="1"/>
  <c r="EO22" i="1"/>
  <c r="AY176" i="1"/>
  <c r="AF176" i="1"/>
  <c r="DS179" i="1"/>
  <c r="DR179" i="1" s="1"/>
  <c r="EL206" i="1"/>
  <c r="EK206" i="1" s="1"/>
  <c r="EL186" i="1"/>
  <c r="EK186" i="1" s="1"/>
  <c r="DN175" i="1"/>
  <c r="CL176" i="1"/>
  <c r="CK176" i="1" s="1"/>
  <c r="BB180" i="1"/>
  <c r="BL181" i="1"/>
  <c r="EE180" i="1"/>
  <c r="ED180" i="1" s="1"/>
  <c r="AD183" i="1"/>
  <c r="AC183" i="1" s="1"/>
  <c r="O183" i="1"/>
  <c r="N183" i="1" s="1"/>
  <c r="X183" i="1"/>
  <c r="W183" i="1" s="1"/>
  <c r="DB190" i="1"/>
  <c r="DB189" i="1" s="1"/>
  <c r="CY175" i="1"/>
  <c r="AS176" i="1"/>
  <c r="DG176" i="1"/>
  <c r="DF176" i="1" s="1"/>
  <c r="FA176" i="1"/>
  <c r="FA175" i="1" s="1"/>
  <c r="AC176" i="1"/>
  <c r="AZ180" i="1"/>
  <c r="BL180" i="1" s="1"/>
  <c r="EW180" i="1"/>
  <c r="BZ182" i="1"/>
  <c r="BY182" i="1" s="1"/>
  <c r="AS183" i="1"/>
  <c r="BB183" i="1"/>
  <c r="HT203" i="1"/>
  <c r="HS203" i="1" s="1"/>
  <c r="FC206" i="1"/>
  <c r="GJ206" i="1" s="1"/>
  <c r="T88" i="1"/>
  <c r="AY88" i="1"/>
  <c r="CZ88" i="1"/>
  <c r="BY90" i="1"/>
  <c r="FK88" i="1"/>
  <c r="Q88" i="1"/>
  <c r="AI88" i="1"/>
  <c r="BS88" i="1"/>
  <c r="EL78" i="1"/>
  <c r="EK78" i="1" s="1"/>
  <c r="DL73" i="1"/>
  <c r="DI70" i="1"/>
  <c r="DI73" i="1"/>
  <c r="DG77" i="1"/>
  <c r="DF77" i="1" s="1"/>
  <c r="DL70" i="1"/>
  <c r="DF72" i="1"/>
  <c r="DI77" i="1"/>
  <c r="EL40" i="1"/>
  <c r="EK40" i="1" s="1"/>
  <c r="EK41" i="1"/>
  <c r="ED110" i="1"/>
  <c r="FC191" i="1"/>
  <c r="FV191" i="1"/>
  <c r="GL191" i="1"/>
  <c r="GD191" i="1"/>
  <c r="FT169" i="1"/>
  <c r="GB169" i="1"/>
  <c r="GJ169" i="1"/>
  <c r="EO158" i="1"/>
  <c r="FZ170" i="1"/>
  <c r="GP170" i="1"/>
  <c r="GH170" i="1"/>
  <c r="FC170" i="1"/>
  <c r="FT92" i="1"/>
  <c r="GJ92" i="1"/>
  <c r="GB92" i="1"/>
  <c r="GD97" i="1"/>
  <c r="FV97" i="1"/>
  <c r="GL97" i="1"/>
  <c r="EH106" i="1"/>
  <c r="EG106" i="1" s="1"/>
  <c r="GB139" i="1"/>
  <c r="FT139" i="1"/>
  <c r="GJ139" i="1"/>
  <c r="FT140" i="1"/>
  <c r="GJ140" i="1"/>
  <c r="GB140" i="1"/>
  <c r="FT150" i="1"/>
  <c r="GB150" i="1"/>
  <c r="GJ150" i="1"/>
  <c r="FZ158" i="1"/>
  <c r="GH158" i="1"/>
  <c r="GP158" i="1"/>
  <c r="FZ162" i="1"/>
  <c r="GP162" i="1"/>
  <c r="GJ163" i="1"/>
  <c r="GB163" i="1"/>
  <c r="FT163" i="1"/>
  <c r="FT167" i="1"/>
  <c r="GJ167" i="1"/>
  <c r="GB167" i="1"/>
  <c r="FT168" i="1"/>
  <c r="GJ168" i="1"/>
  <c r="GB168" i="1"/>
  <c r="EP175" i="1"/>
  <c r="EO176" i="1"/>
  <c r="EO197" i="1" s="1"/>
  <c r="H181" i="1"/>
  <c r="I180" i="1"/>
  <c r="H180" i="1" s="1"/>
  <c r="BT180" i="1"/>
  <c r="BS181" i="1"/>
  <c r="BS180" i="1" s="1"/>
  <c r="DF193" i="1"/>
  <c r="DG194" i="1"/>
  <c r="DF194" i="1" s="1"/>
  <c r="DI194" i="1"/>
  <c r="HX201" i="1"/>
  <c r="HW201" i="1" s="1"/>
  <c r="HK201" i="1"/>
  <c r="HG204" i="1"/>
  <c r="HH203" i="1"/>
  <c r="HG203" i="1" s="1"/>
  <c r="W218" i="1"/>
  <c r="X219" i="1"/>
  <c r="W219" i="1" s="1"/>
  <c r="AG219" i="1"/>
  <c r="Z219" i="1"/>
  <c r="AK219" i="1" s="1"/>
  <c r="AK217" i="1" s="1"/>
  <c r="AK216" i="1" s="1"/>
  <c r="AA217" i="1"/>
  <c r="AA216" i="1" s="1"/>
  <c r="CO266" i="1"/>
  <c r="CO265" i="1" s="1"/>
  <c r="CO264" i="1" s="1"/>
  <c r="CO288" i="1" s="1"/>
  <c r="CO244" i="1"/>
  <c r="BL295" i="1"/>
  <c r="AC298" i="1"/>
  <c r="AC293" i="1"/>
  <c r="GB21" i="1"/>
  <c r="GJ21" i="1"/>
  <c r="EH33" i="1"/>
  <c r="GJ37" i="1"/>
  <c r="GB37" i="1"/>
  <c r="FT37" i="1"/>
  <c r="BI40" i="1"/>
  <c r="BH40" i="1" s="1"/>
  <c r="EW44" i="1"/>
  <c r="GJ53" i="1"/>
  <c r="GB53" i="1"/>
  <c r="FT53" i="1"/>
  <c r="DK142" i="1"/>
  <c r="DI142" i="1" s="1"/>
  <c r="DO142" i="1"/>
  <c r="DU142" i="1"/>
  <c r="DH144" i="1"/>
  <c r="DF144" i="1" s="1"/>
  <c r="DT144" i="1"/>
  <c r="FN144" i="1"/>
  <c r="GJ145" i="1"/>
  <c r="FT145" i="1"/>
  <c r="GB145" i="1"/>
  <c r="GJ147" i="1"/>
  <c r="GB147" i="1"/>
  <c r="FT147" i="1"/>
  <c r="DF150" i="1"/>
  <c r="EV150" i="1"/>
  <c r="GP150" i="1"/>
  <c r="FZ150" i="1"/>
  <c r="GH150" i="1"/>
  <c r="ET150" i="1"/>
  <c r="DT153" i="1"/>
  <c r="DR153" i="1" s="1"/>
  <c r="DM158" i="1"/>
  <c r="DL158" i="1" s="1"/>
  <c r="DV158" i="1"/>
  <c r="DU158" i="1" s="1"/>
  <c r="HJ158" i="1"/>
  <c r="HG158" i="1" s="1"/>
  <c r="EO159" i="1"/>
  <c r="CW158" i="1"/>
  <c r="FG162" i="1"/>
  <c r="EW162" i="1"/>
  <c r="EW158" i="1" s="1"/>
  <c r="FZ166" i="1"/>
  <c r="GP166" i="1"/>
  <c r="GH166" i="1"/>
  <c r="ES167" i="1"/>
  <c r="FG167" i="1"/>
  <c r="FG166" i="1" s="1"/>
  <c r="FR166" i="1" s="1"/>
  <c r="FO166" i="1" s="1"/>
  <c r="FC175" i="1"/>
  <c r="GH175" i="1"/>
  <c r="FZ175" i="1"/>
  <c r="GP175" i="1"/>
  <c r="DT197" i="1"/>
  <c r="DT190" i="1" s="1"/>
  <c r="DT189" i="1" s="1"/>
  <c r="DT175" i="1"/>
  <c r="HS175" i="1"/>
  <c r="H179" i="1"/>
  <c r="I176" i="1"/>
  <c r="H176" i="1" s="1"/>
  <c r="FT180" i="1"/>
  <c r="GB180" i="1"/>
  <c r="GJ180" i="1"/>
  <c r="FT181" i="1"/>
  <c r="GB181" i="1"/>
  <c r="GJ181" i="1"/>
  <c r="FT188" i="1"/>
  <c r="GB188" i="1"/>
  <c r="GJ188" i="1"/>
  <c r="FF189" i="1"/>
  <c r="FF18" i="1" s="1"/>
  <c r="FF17" i="1" s="1"/>
  <c r="DJ191" i="1"/>
  <c r="DI191" i="1" s="1"/>
  <c r="DI193" i="1"/>
  <c r="DI199" i="1"/>
  <c r="DJ197" i="1"/>
  <c r="DI197" i="1" s="1"/>
  <c r="EZ199" i="1"/>
  <c r="FA197" i="1"/>
  <c r="EZ197" i="1" s="1"/>
  <c r="FT200" i="1"/>
  <c r="GJ200" i="1"/>
  <c r="GB200" i="1"/>
  <c r="EE197" i="1"/>
  <c r="ED197" i="1" s="1"/>
  <c r="IB203" i="1"/>
  <c r="IA203" i="1" s="1"/>
  <c r="HW204" i="1"/>
  <c r="HX203" i="1"/>
  <c r="HW203" i="1" s="1"/>
  <c r="EN357" i="1"/>
  <c r="EN27" i="1" s="1"/>
  <c r="EN12" i="1" s="1"/>
  <c r="EB359" i="1"/>
  <c r="EB397" i="1" s="1"/>
  <c r="EB14" i="1" s="1"/>
  <c r="FA359" i="1"/>
  <c r="FA29" i="1" s="1"/>
  <c r="E217" i="1"/>
  <c r="BE218" i="1"/>
  <c r="BG217" i="1"/>
  <c r="BG216" i="1" s="1"/>
  <c r="EK218" i="1"/>
  <c r="E219" i="1"/>
  <c r="E216" i="1" s="1"/>
  <c r="F217" i="1"/>
  <c r="F216" i="1" s="1"/>
  <c r="F213" i="1" s="1"/>
  <c r="F285" i="1" s="1"/>
  <c r="CY221" i="1"/>
  <c r="CW221" i="1" s="1"/>
  <c r="CT221" i="1"/>
  <c r="ES224" i="1"/>
  <c r="CF224" i="1"/>
  <c r="IB225" i="1"/>
  <c r="IA225" i="1" s="1"/>
  <c r="N228" i="1"/>
  <c r="EW228" i="1"/>
  <c r="N229" i="1"/>
  <c r="GU232" i="1"/>
  <c r="GV231" i="1"/>
  <c r="GU231" i="1" s="1"/>
  <c r="E236" i="1"/>
  <c r="EK244" i="1"/>
  <c r="EO253" i="1"/>
  <c r="J264" i="1"/>
  <c r="H264" i="1" s="1"/>
  <c r="HS263" i="1"/>
  <c r="HS288" i="1" s="1"/>
  <c r="EF269" i="1"/>
  <c r="EF285" i="1" s="1"/>
  <c r="AV270" i="1"/>
  <c r="AV269" i="1" s="1"/>
  <c r="AX269" i="1"/>
  <c r="DR272" i="1"/>
  <c r="Y269" i="1"/>
  <c r="EK276" i="1"/>
  <c r="EP276" i="1"/>
  <c r="EP269" i="1" s="1"/>
  <c r="HP279" i="1"/>
  <c r="HO279" i="1" s="1"/>
  <c r="V292" i="1"/>
  <c r="AX293" i="1"/>
  <c r="BD292" i="1"/>
  <c r="CI292" i="1"/>
  <c r="Q294" i="1"/>
  <c r="R292" i="1"/>
  <c r="AJ294" i="1"/>
  <c r="CA295" i="1"/>
  <c r="CA293" i="1"/>
  <c r="CP296" i="1"/>
  <c r="CP295" i="1" s="1"/>
  <c r="CM295" i="1"/>
  <c r="CM293" i="1"/>
  <c r="O293" i="1"/>
  <c r="HO300" i="1"/>
  <c r="HP294" i="1"/>
  <c r="HO294" i="1" s="1"/>
  <c r="H302" i="1"/>
  <c r="I301" i="1"/>
  <c r="EL304" i="1"/>
  <c r="EK304" i="1" s="1"/>
  <c r="EK306" i="1"/>
  <c r="EK294" i="1" s="1"/>
  <c r="DS326" i="1"/>
  <c r="DR326" i="1" s="1"/>
  <c r="DI326" i="1"/>
  <c r="DG326" i="1"/>
  <c r="DF326" i="1" s="1"/>
  <c r="S310" i="1"/>
  <c r="EE348" i="1"/>
  <c r="ED348" i="1" s="1"/>
  <c r="ED349" i="1"/>
  <c r="ED366" i="1"/>
  <c r="EF364" i="1"/>
  <c r="ED364" i="1" s="1"/>
  <c r="FT57" i="1"/>
  <c r="GB57" i="1"/>
  <c r="GJ57" i="1"/>
  <c r="GB64" i="1"/>
  <c r="FT64" i="1"/>
  <c r="GJ64" i="1"/>
  <c r="GD65" i="1"/>
  <c r="FV65" i="1"/>
  <c r="GL65" i="1"/>
  <c r="FT67" i="1"/>
  <c r="GB67" i="1"/>
  <c r="GJ67" i="1"/>
  <c r="DG73" i="1"/>
  <c r="DF73" i="1" s="1"/>
  <c r="AS88" i="1"/>
  <c r="FH92" i="1"/>
  <c r="FG92" i="1" s="1"/>
  <c r="GJ99" i="1"/>
  <c r="GB99" i="1"/>
  <c r="FT99" i="1"/>
  <c r="HH107" i="1"/>
  <c r="HG107" i="1" s="1"/>
  <c r="FC110" i="1"/>
  <c r="GD110" i="1"/>
  <c r="FV110" i="1"/>
  <c r="GL110" i="1"/>
  <c r="CT105" i="1"/>
  <c r="FK105" i="1"/>
  <c r="BT117" i="1"/>
  <c r="BS117" i="1" s="1"/>
  <c r="BS116" i="1" s="1"/>
  <c r="FT117" i="1"/>
  <c r="GB117" i="1"/>
  <c r="GJ117" i="1"/>
  <c r="FT123" i="1"/>
  <c r="GJ123" i="1"/>
  <c r="GB123" i="1"/>
  <c r="FP125" i="1"/>
  <c r="FO125" i="1" s="1"/>
  <c r="FT136" i="1"/>
  <c r="GB136" i="1"/>
  <c r="GJ136" i="1"/>
  <c r="GP139" i="1"/>
  <c r="GH139" i="1"/>
  <c r="FZ139" i="1"/>
  <c r="GH16" i="1"/>
  <c r="FZ16" i="1"/>
  <c r="GP16" i="1"/>
  <c r="CY31" i="1"/>
  <c r="DN35" i="1"/>
  <c r="DN31" i="1" s="1"/>
  <c r="FD33" i="1"/>
  <c r="FV37" i="1"/>
  <c r="GL37" i="1"/>
  <c r="GD37" i="1"/>
  <c r="DB35" i="1"/>
  <c r="DZ35" i="1"/>
  <c r="EY35" i="1"/>
  <c r="FP45" i="1"/>
  <c r="EE51" i="1"/>
  <c r="ED51" i="1" s="1"/>
  <c r="EO59" i="1"/>
  <c r="EX35" i="1"/>
  <c r="IB61" i="1"/>
  <c r="FT62" i="1"/>
  <c r="GJ62" i="1"/>
  <c r="GB62" i="1"/>
  <c r="K65" i="1"/>
  <c r="BT65" i="1"/>
  <c r="DO65" i="1"/>
  <c r="FT68" i="1"/>
  <c r="GJ68" i="1"/>
  <c r="GB68" i="1"/>
  <c r="ET88" i="1"/>
  <c r="ES88" i="1" s="1"/>
  <c r="GJ88" i="1"/>
  <c r="FT88" i="1"/>
  <c r="GB88" i="1"/>
  <c r="DR91" i="1"/>
  <c r="EK91" i="1"/>
  <c r="GJ91" i="1"/>
  <c r="GB91" i="1"/>
  <c r="FT91" i="1"/>
  <c r="FP96" i="1"/>
  <c r="FO96" i="1" s="1"/>
  <c r="GJ104" i="1"/>
  <c r="GB104" i="1"/>
  <c r="FT104" i="1"/>
  <c r="CJ105" i="1"/>
  <c r="HV31" i="1"/>
  <c r="GV106" i="1"/>
  <c r="GU106" i="1" s="1"/>
  <c r="FH107" i="1"/>
  <c r="FG107" i="1" s="1"/>
  <c r="I110" i="1"/>
  <c r="H110" i="1" s="1"/>
  <c r="BZ113" i="1"/>
  <c r="BY113" i="1" s="1"/>
  <c r="CL113" i="1"/>
  <c r="CK113" i="1" s="1"/>
  <c r="CL119" i="1"/>
  <c r="CK119" i="1" s="1"/>
  <c r="I119" i="1"/>
  <c r="H119" i="1" s="1"/>
  <c r="FT121" i="1"/>
  <c r="AF119" i="1"/>
  <c r="GJ124" i="1"/>
  <c r="GB124" i="1"/>
  <c r="FT124" i="1"/>
  <c r="FC126" i="1"/>
  <c r="GD126" i="1"/>
  <c r="FV126" i="1"/>
  <c r="GL126" i="1"/>
  <c r="FK129" i="1"/>
  <c r="GJ130" i="1"/>
  <c r="FT130" i="1"/>
  <c r="GB130" i="1"/>
  <c r="FH132" i="1"/>
  <c r="FG132" i="1" s="1"/>
  <c r="AK136" i="1"/>
  <c r="CK136" i="1"/>
  <c r="CZ138" i="1"/>
  <c r="FJ139" i="1"/>
  <c r="FG139" i="1" s="1"/>
  <c r="FR142" i="1"/>
  <c r="FO142" i="1" s="1"/>
  <c r="GJ143" i="1"/>
  <c r="FT143" i="1"/>
  <c r="GB143" i="1"/>
  <c r="FT144" i="1"/>
  <c r="GB144" i="1"/>
  <c r="GJ144" i="1"/>
  <c r="HN144" i="1"/>
  <c r="HK144" i="1" s="1"/>
  <c r="FT146" i="1"/>
  <c r="GB146" i="1"/>
  <c r="GJ146" i="1"/>
  <c r="EV149" i="1"/>
  <c r="ES149" i="1" s="1"/>
  <c r="GJ153" i="1"/>
  <c r="GB153" i="1"/>
  <c r="FT153" i="1"/>
  <c r="FT154" i="1"/>
  <c r="GB154" i="1"/>
  <c r="GJ154" i="1"/>
  <c r="FT155" i="1"/>
  <c r="GB155" i="1"/>
  <c r="GJ155" i="1"/>
  <c r="HZ158" i="1"/>
  <c r="HW158" i="1" s="1"/>
  <c r="HN163" i="1"/>
  <c r="HK163" i="1" s="1"/>
  <c r="FN164" i="1"/>
  <c r="FK164" i="1" s="1"/>
  <c r="GJ165" i="1"/>
  <c r="GB165" i="1"/>
  <c r="FT165" i="1"/>
  <c r="DT168" i="1"/>
  <c r="GP169" i="1"/>
  <c r="FZ169" i="1"/>
  <c r="GH169" i="1"/>
  <c r="FT174" i="1"/>
  <c r="GB174" i="1"/>
  <c r="GJ174" i="1"/>
  <c r="DI183" i="1"/>
  <c r="FL175" i="1"/>
  <c r="FK183" i="1"/>
  <c r="BY185" i="1"/>
  <c r="BZ183" i="1"/>
  <c r="BY183" i="1" s="1"/>
  <c r="BG187" i="1"/>
  <c r="BE187" i="1" s="1"/>
  <c r="AY187" i="1"/>
  <c r="BL187" i="1" s="1"/>
  <c r="FG188" i="1"/>
  <c r="FJ172" i="1"/>
  <c r="FG172" i="1" s="1"/>
  <c r="DA191" i="1"/>
  <c r="GJ194" i="1"/>
  <c r="GB194" i="1"/>
  <c r="FT194" i="1"/>
  <c r="FD359" i="1"/>
  <c r="ER213" i="1"/>
  <c r="AL218" i="1"/>
  <c r="HO218" i="1"/>
  <c r="HH218" i="1"/>
  <c r="HG218" i="1" s="1"/>
  <c r="BP217" i="1"/>
  <c r="BP216" i="1" s="1"/>
  <c r="AX224" i="1"/>
  <c r="AX213" i="1" s="1"/>
  <c r="AV225" i="1"/>
  <c r="HK225" i="1"/>
  <c r="HL224" i="1"/>
  <c r="HK224" i="1" s="1"/>
  <c r="HW233" i="1"/>
  <c r="HK239" i="1"/>
  <c r="HX239" i="1"/>
  <c r="HW239" i="1" s="1"/>
  <c r="EK253" i="1"/>
  <c r="W264" i="1"/>
  <c r="Y263" i="1"/>
  <c r="W263" i="1" s="1"/>
  <c r="CA264" i="1"/>
  <c r="BY264" i="1" s="1"/>
  <c r="CQ263" i="1"/>
  <c r="CQ288" i="1" s="1"/>
  <c r="HX270" i="1"/>
  <c r="HW270" i="1" s="1"/>
  <c r="HL269" i="1"/>
  <c r="HX272" i="1"/>
  <c r="HW272" i="1" s="1"/>
  <c r="HK272" i="1"/>
  <c r="HX276" i="1"/>
  <c r="HW276" i="1" s="1"/>
  <c r="HK276" i="1"/>
  <c r="IA282" i="1"/>
  <c r="HX282" i="1"/>
  <c r="IB279" i="1"/>
  <c r="IA279" i="1" s="1"/>
  <c r="EK287" i="1"/>
  <c r="AF297" i="1"/>
  <c r="AR297" i="1" s="1"/>
  <c r="AR295" i="1" s="1"/>
  <c r="AG295" i="1"/>
  <c r="AF295" i="1" s="1"/>
  <c r="AG294" i="1"/>
  <c r="HG299" i="1"/>
  <c r="HH298" i="1"/>
  <c r="HG298" i="1" s="1"/>
  <c r="O301" i="1"/>
  <c r="AF303" i="1"/>
  <c r="AF301" i="1" s="1"/>
  <c r="AG301" i="1"/>
  <c r="FC16" i="1"/>
  <c r="FT16" i="1" s="1"/>
  <c r="GJ20" i="1"/>
  <c r="GB20" i="1"/>
  <c r="FX22" i="1"/>
  <c r="GN22" i="1"/>
  <c r="GF22" i="1"/>
  <c r="GJ47" i="1"/>
  <c r="GB47" i="1"/>
  <c r="FT47" i="1"/>
  <c r="FV96" i="1"/>
  <c r="GD96" i="1"/>
  <c r="GL96" i="1"/>
  <c r="CO31" i="1"/>
  <c r="FC107" i="1"/>
  <c r="FV107" i="1"/>
  <c r="GL107" i="1"/>
  <c r="GD107" i="1"/>
  <c r="DZ105" i="1"/>
  <c r="GD129" i="1"/>
  <c r="FV129" i="1"/>
  <c r="GL129" i="1"/>
  <c r="FC132" i="1"/>
  <c r="FV132" i="1"/>
  <c r="GD132" i="1"/>
  <c r="GL132" i="1"/>
  <c r="GJ151" i="1"/>
  <c r="GB151" i="1"/>
  <c r="FT151" i="1"/>
  <c r="GJ159" i="1"/>
  <c r="FT159" i="1"/>
  <c r="GB159" i="1"/>
  <c r="GB166" i="1"/>
  <c r="FT166" i="1"/>
  <c r="GJ166" i="1"/>
  <c r="FK180" i="1"/>
  <c r="FK203" i="1" s="1"/>
  <c r="FL203" i="1"/>
  <c r="O180" i="1"/>
  <c r="N180" i="1" s="1"/>
  <c r="N182" i="1"/>
  <c r="FC192" i="1"/>
  <c r="GD192" i="1"/>
  <c r="FV192" i="1"/>
  <c r="GL192" i="1"/>
  <c r="FD197" i="1"/>
  <c r="FC197" i="1" s="1"/>
  <c r="GD198" i="1"/>
  <c r="FV198" i="1"/>
  <c r="GL198" i="1"/>
  <c r="FC198" i="1"/>
  <c r="GD204" i="1"/>
  <c r="FV204" i="1"/>
  <c r="GL204" i="1"/>
  <c r="FC204" i="1"/>
  <c r="HW234" i="1"/>
  <c r="IB227" i="1"/>
  <c r="IA227" i="1" s="1"/>
  <c r="FC248" i="1"/>
  <c r="HX250" i="1"/>
  <c r="HX249" i="1" s="1"/>
  <c r="HK250" i="1"/>
  <c r="CU253" i="1"/>
  <c r="CT254" i="1"/>
  <c r="CT253" i="1" s="1"/>
  <c r="BE300" i="1"/>
  <c r="BF294" i="1"/>
  <c r="CB364" i="1"/>
  <c r="CB361" i="1" s="1"/>
  <c r="CD361" i="1"/>
  <c r="CB44" i="1"/>
  <c r="CF44" i="1" s="1"/>
  <c r="FH47" i="1"/>
  <c r="FP64" i="1"/>
  <c r="FO64" i="1" s="1"/>
  <c r="FV64" i="1"/>
  <c r="GD64" i="1"/>
  <c r="GL64" i="1"/>
  <c r="BV65" i="1"/>
  <c r="CZ65" i="1"/>
  <c r="FT80" i="1"/>
  <c r="GB80" i="1"/>
  <c r="BB88" i="1"/>
  <c r="BB91" i="1"/>
  <c r="EW91" i="1"/>
  <c r="CP31" i="1"/>
  <c r="BF110" i="1"/>
  <c r="BE110" i="1" s="1"/>
  <c r="FT111" i="1"/>
  <c r="GB111" i="1"/>
  <c r="GJ111" i="1"/>
  <c r="FC116" i="1"/>
  <c r="GL116" i="1"/>
  <c r="GD116" i="1"/>
  <c r="FV116" i="1"/>
  <c r="GD122" i="1"/>
  <c r="FV122" i="1"/>
  <c r="GL122" i="1"/>
  <c r="FC138" i="1"/>
  <c r="FZ138" i="1"/>
  <c r="GH138" i="1"/>
  <c r="GP138" i="1"/>
  <c r="FC19" i="1"/>
  <c r="FT19" i="1" s="1"/>
  <c r="CD35" i="1"/>
  <c r="CD31" i="1" s="1"/>
  <c r="CR35" i="1"/>
  <c r="Q40" i="1"/>
  <c r="CT35" i="1"/>
  <c r="HL40" i="1"/>
  <c r="HK40" i="1" s="1"/>
  <c r="GB45" i="1"/>
  <c r="GJ45" i="1"/>
  <c r="HP45" i="1"/>
  <c r="DX51" i="1"/>
  <c r="DX191" i="1" s="1"/>
  <c r="HK12" i="1"/>
  <c r="ET33" i="1"/>
  <c r="IB33" i="1"/>
  <c r="IB209" i="1" s="1"/>
  <c r="FR31" i="1"/>
  <c r="AZ40" i="1"/>
  <c r="AY40" i="1" s="1"/>
  <c r="FC40" i="1"/>
  <c r="GU40" i="1"/>
  <c r="FC41" i="1"/>
  <c r="FP41" i="1"/>
  <c r="FP40" i="1" s="1"/>
  <c r="HK41" i="1"/>
  <c r="AI42" i="1"/>
  <c r="BZ40" i="1"/>
  <c r="BY40" i="1" s="1"/>
  <c r="E44" i="1"/>
  <c r="AY44" i="1"/>
  <c r="CH44" i="1"/>
  <c r="GD45" i="1"/>
  <c r="GL45" i="1"/>
  <c r="FV45" i="1"/>
  <c r="HH47" i="1"/>
  <c r="GB48" i="1"/>
  <c r="GJ48" i="1"/>
  <c r="FT48" i="1"/>
  <c r="T51" i="1"/>
  <c r="T211" i="1" s="1"/>
  <c r="AS51" i="1"/>
  <c r="BB51" i="1"/>
  <c r="BB211" i="1" s="1"/>
  <c r="CB51" i="1"/>
  <c r="CF51" i="1" s="1"/>
  <c r="CQ51" i="1"/>
  <c r="FC51" i="1"/>
  <c r="GD51" i="1"/>
  <c r="FV51" i="1"/>
  <c r="GL51" i="1"/>
  <c r="H53" i="1"/>
  <c r="GB54" i="1"/>
  <c r="FT54" i="1"/>
  <c r="GJ54" i="1"/>
  <c r="DS56" i="1"/>
  <c r="DR56" i="1" s="1"/>
  <c r="Q59" i="1"/>
  <c r="BV59" i="1"/>
  <c r="CQ59" i="1"/>
  <c r="DH35" i="1"/>
  <c r="DH31" i="1" s="1"/>
  <c r="FT60" i="1"/>
  <c r="GB60" i="1"/>
  <c r="GJ60" i="1"/>
  <c r="AI65" i="1"/>
  <c r="BF65" i="1"/>
  <c r="BE65" i="1" s="1"/>
  <c r="DX65" i="1"/>
  <c r="ER35" i="1"/>
  <c r="ER31" i="1" s="1"/>
  <c r="EZ67" i="1"/>
  <c r="HX67" i="1"/>
  <c r="HX65" i="1" s="1"/>
  <c r="HW65" i="1" s="1"/>
  <c r="DO70" i="1"/>
  <c r="DR72" i="1"/>
  <c r="FC78" i="1"/>
  <c r="FV78" i="1"/>
  <c r="GD78" i="1"/>
  <c r="GB79" i="1"/>
  <c r="FT79" i="1"/>
  <c r="EL88" i="1"/>
  <c r="EK88" i="1" s="1"/>
  <c r="GD88" i="1"/>
  <c r="FV88" i="1"/>
  <c r="GL88" i="1"/>
  <c r="FT89" i="1"/>
  <c r="GJ89" i="1"/>
  <c r="GB89" i="1"/>
  <c r="FK90" i="1"/>
  <c r="AF91" i="1"/>
  <c r="AR91" i="1" s="1"/>
  <c r="AS91" i="1"/>
  <c r="DO91" i="1"/>
  <c r="ET91" i="1"/>
  <c r="ES91" i="1" s="1"/>
  <c r="FV91" i="1"/>
  <c r="GL91" i="1"/>
  <c r="GD91" i="1"/>
  <c r="FK91" i="1"/>
  <c r="ET92" i="1"/>
  <c r="ES92" i="1" s="1"/>
  <c r="CK93" i="1"/>
  <c r="GJ94" i="1"/>
  <c r="FC96" i="1"/>
  <c r="FC97" i="1"/>
  <c r="CU31" i="1"/>
  <c r="IA107" i="1"/>
  <c r="CZ110" i="1"/>
  <c r="DX110" i="1"/>
  <c r="BI111" i="1"/>
  <c r="I113" i="1"/>
  <c r="H113" i="1" s="1"/>
  <c r="BF113" i="1"/>
  <c r="BE113" i="1" s="1"/>
  <c r="DG113" i="1"/>
  <c r="DF113" i="1" s="1"/>
  <c r="DO105" i="1"/>
  <c r="DX113" i="1"/>
  <c r="EG113" i="1"/>
  <c r="EO113" i="1"/>
  <c r="EO105" i="1" s="1"/>
  <c r="EW113" i="1"/>
  <c r="GD113" i="1"/>
  <c r="GL113" i="1"/>
  <c r="AC113" i="1"/>
  <c r="GB114" i="1"/>
  <c r="GJ114" i="1"/>
  <c r="FT114" i="1"/>
  <c r="AY116" i="1"/>
  <c r="BL116" i="1" s="1"/>
  <c r="CK117" i="1"/>
  <c r="DX119" i="1"/>
  <c r="O119" i="1"/>
  <c r="N119" i="1" s="1"/>
  <c r="FP122" i="1"/>
  <c r="FO122" i="1" s="1"/>
  <c r="FC129" i="1"/>
  <c r="GJ131" i="1"/>
  <c r="GB131" i="1"/>
  <c r="FT131" i="1"/>
  <c r="GJ133" i="1"/>
  <c r="GB133" i="1"/>
  <c r="FT133" i="1"/>
  <c r="BT136" i="1"/>
  <c r="BS136" i="1" s="1"/>
  <c r="CW138" i="1"/>
  <c r="DL138" i="1"/>
  <c r="EF142" i="1"/>
  <c r="EF137" i="1" s="1"/>
  <c r="EF211" i="1" s="1"/>
  <c r="EF359" i="1" s="1"/>
  <c r="EF29" i="1" s="1"/>
  <c r="FJ142" i="1"/>
  <c r="FG142" i="1" s="1"/>
  <c r="HK146" i="1"/>
  <c r="HZ147" i="1"/>
  <c r="HW147" i="1" s="1"/>
  <c r="FT148" i="1"/>
  <c r="GJ148" i="1"/>
  <c r="GB148" i="1"/>
  <c r="GJ149" i="1"/>
  <c r="GB149" i="1"/>
  <c r="FT149" i="1"/>
  <c r="CB152" i="1"/>
  <c r="DO152" i="1"/>
  <c r="EK152" i="1"/>
  <c r="ER153" i="1"/>
  <c r="EO153" i="1" s="1"/>
  <c r="HJ152" i="1"/>
  <c r="HG152" i="1" s="1"/>
  <c r="GJ157" i="1"/>
  <c r="GB157" i="1"/>
  <c r="FT157" i="1"/>
  <c r="FC158" i="1"/>
  <c r="ER162" i="1"/>
  <c r="EO162" i="1" s="1"/>
  <c r="FC162" i="1"/>
  <c r="DI163" i="1"/>
  <c r="FT164" i="1"/>
  <c r="GB164" i="1"/>
  <c r="GJ164" i="1"/>
  <c r="GH168" i="1"/>
  <c r="FZ168" i="1"/>
  <c r="GP168" i="1"/>
  <c r="HJ172" i="1"/>
  <c r="HG172" i="1" s="1"/>
  <c r="DZ197" i="1"/>
  <c r="DZ190" i="1" s="1"/>
  <c r="DZ189" i="1" s="1"/>
  <c r="DZ175" i="1"/>
  <c r="EX175" i="1"/>
  <c r="EW176" i="1"/>
  <c r="GD176" i="1"/>
  <c r="FV176" i="1"/>
  <c r="GL176" i="1"/>
  <c r="FN197" i="1"/>
  <c r="FN190" i="1" s="1"/>
  <c r="FN189" i="1" s="1"/>
  <c r="FN17" i="1" s="1"/>
  <c r="FN175" i="1"/>
  <c r="FT177" i="1"/>
  <c r="GB177" i="1"/>
  <c r="GJ177" i="1"/>
  <c r="AW180" i="1"/>
  <c r="AV180" i="1" s="1"/>
  <c r="DP180" i="1"/>
  <c r="DO180" i="1" s="1"/>
  <c r="DO203" i="1" s="1"/>
  <c r="DO182" i="1"/>
  <c r="FT183" i="1"/>
  <c r="GB183" i="1"/>
  <c r="GJ183" i="1"/>
  <c r="FT184" i="1"/>
  <c r="GB184" i="1"/>
  <c r="GJ184" i="1"/>
  <c r="DU191" i="1"/>
  <c r="DU190" i="1" s="1"/>
  <c r="DU189" i="1" s="1"/>
  <c r="DV190" i="1"/>
  <c r="DV189" i="1" s="1"/>
  <c r="DV17" i="1" s="1"/>
  <c r="DU17" i="1" s="1"/>
  <c r="ES192" i="1"/>
  <c r="HX193" i="1"/>
  <c r="HK193" i="1"/>
  <c r="HL191" i="1"/>
  <c r="HK191" i="1" s="1"/>
  <c r="HX194" i="1"/>
  <c r="HW194" i="1" s="1"/>
  <c r="HK194" i="1"/>
  <c r="DG195" i="1"/>
  <c r="DF195" i="1" s="1"/>
  <c r="FT201" i="1"/>
  <c r="GJ201" i="1"/>
  <c r="GB201" i="1"/>
  <c r="HL203" i="1"/>
  <c r="HK203" i="1" s="1"/>
  <c r="EG204" i="1"/>
  <c r="EE204" i="1"/>
  <c r="ED204" i="1" s="1"/>
  <c r="FA204" i="1"/>
  <c r="EZ204" i="1" s="1"/>
  <c r="EE359" i="1"/>
  <c r="EE397" i="1" s="1"/>
  <c r="EE14" i="1" s="1"/>
  <c r="CC216" i="1"/>
  <c r="BF217" i="1"/>
  <c r="DM217" i="1"/>
  <c r="DM216" i="1" s="1"/>
  <c r="H218" i="1"/>
  <c r="N218" i="1"/>
  <c r="DG218" i="1"/>
  <c r="DF218" i="1" s="1"/>
  <c r="DS218" i="1"/>
  <c r="FH218" i="1"/>
  <c r="FG218" i="1" s="1"/>
  <c r="K219" i="1"/>
  <c r="K216" i="1" s="1"/>
  <c r="I219" i="1"/>
  <c r="I217" i="1" s="1"/>
  <c r="I216" i="1" s="1"/>
  <c r="HX221" i="1"/>
  <c r="HW221" i="1" s="1"/>
  <c r="HK221" i="1"/>
  <c r="CU224" i="1"/>
  <c r="CT224" i="1" s="1"/>
  <c r="Q224" i="1"/>
  <c r="BT225" i="1"/>
  <c r="BS225" i="1" s="1"/>
  <c r="AY225" i="1"/>
  <c r="BL225" i="1" s="1"/>
  <c r="BL224" i="1" s="1"/>
  <c r="AZ226" i="1"/>
  <c r="AS226" i="1"/>
  <c r="DG228" i="1"/>
  <c r="FA228" i="1"/>
  <c r="EZ228" i="1" s="1"/>
  <c r="Q236" i="1"/>
  <c r="BY248" i="1"/>
  <c r="BY244" i="1" s="1"/>
  <c r="BZ244" i="1"/>
  <c r="HG250" i="1"/>
  <c r="HH249" i="1"/>
  <c r="IB249" i="1"/>
  <c r="IA250" i="1"/>
  <c r="CL254" i="1"/>
  <c r="P264" i="1"/>
  <c r="CV264" i="1"/>
  <c r="CT264" i="1" s="1"/>
  <c r="CT263" i="1" s="1"/>
  <c r="CT288" i="1" s="1"/>
  <c r="CB264" i="1"/>
  <c r="CW263" i="1"/>
  <c r="CW288" i="1" s="1"/>
  <c r="DU263" i="1"/>
  <c r="DU288" i="1" s="1"/>
  <c r="M292" i="1"/>
  <c r="T294" i="1"/>
  <c r="BG295" i="1"/>
  <c r="H297" i="1"/>
  <c r="I294" i="1"/>
  <c r="P294" i="1"/>
  <c r="Y294" i="1"/>
  <c r="BE297" i="1"/>
  <c r="BS295" i="1"/>
  <c r="AK300" i="1"/>
  <c r="AV302" i="1"/>
  <c r="AW293" i="1"/>
  <c r="AW292" i="1" s="1"/>
  <c r="BE302" i="1"/>
  <c r="BF301" i="1"/>
  <c r="BH176" i="1"/>
  <c r="EL175" i="1"/>
  <c r="ER175" i="1"/>
  <c r="FG176" i="1"/>
  <c r="HP175" i="1"/>
  <c r="GB178" i="1"/>
  <c r="FT178" i="1"/>
  <c r="GJ178" i="1"/>
  <c r="K180" i="1"/>
  <c r="BH180" i="1"/>
  <c r="BV180" i="1"/>
  <c r="EO180" i="1"/>
  <c r="EO203" i="1" s="1"/>
  <c r="FD175" i="1"/>
  <c r="GD180" i="1"/>
  <c r="FV180" i="1"/>
  <c r="GL180" i="1"/>
  <c r="CL180" i="1"/>
  <c r="CK180" i="1" s="1"/>
  <c r="CH183" i="1"/>
  <c r="CZ183" i="1"/>
  <c r="DX183" i="1"/>
  <c r="GL183" i="1"/>
  <c r="GD183" i="1"/>
  <c r="FV183" i="1"/>
  <c r="FT185" i="1"/>
  <c r="GJ185" i="1"/>
  <c r="GB185" i="1"/>
  <c r="ER197" i="1"/>
  <c r="ER190" i="1" s="1"/>
  <c r="ER189" i="1" s="1"/>
  <c r="ER17" i="1" s="1"/>
  <c r="FE27" i="1"/>
  <c r="FE12" i="1" s="1"/>
  <c r="HI357" i="1"/>
  <c r="HI27" i="1" s="1"/>
  <c r="HI12" i="1" s="1"/>
  <c r="HU357" i="1"/>
  <c r="HU27" i="1" s="1"/>
  <c r="HU12" i="1" s="1"/>
  <c r="IC357" i="1"/>
  <c r="IC27" i="1" s="1"/>
  <c r="IC12" i="1" s="1"/>
  <c r="AT359" i="1"/>
  <c r="AT397" i="1" s="1"/>
  <c r="AT14" i="1" s="1"/>
  <c r="AZ359" i="1"/>
  <c r="AZ29" i="1" s="1"/>
  <c r="BT359" i="1"/>
  <c r="BT29" i="1" s="1"/>
  <c r="BZ359" i="1"/>
  <c r="BZ29" i="1" s="1"/>
  <c r="DP359" i="1"/>
  <c r="DP29" i="1" s="1"/>
  <c r="EH359" i="1"/>
  <c r="EH397" i="1" s="1"/>
  <c r="EX359" i="1"/>
  <c r="EX397" i="1" s="1"/>
  <c r="EX14" i="1" s="1"/>
  <c r="FE359" i="1"/>
  <c r="GW359" i="1"/>
  <c r="GW397" i="1" s="1"/>
  <c r="HM359" i="1"/>
  <c r="HU359" i="1"/>
  <c r="HU397" i="1" s="1"/>
  <c r="IC359" i="1"/>
  <c r="AJ213" i="1"/>
  <c r="AJ285" i="1" s="1"/>
  <c r="EH216" i="1"/>
  <c r="EG216" i="1" s="1"/>
  <c r="AS217" i="1"/>
  <c r="DK219" i="1"/>
  <c r="DN219" i="1" s="1"/>
  <c r="DG220" i="1"/>
  <c r="DF220" i="1" s="1"/>
  <c r="W221" i="1"/>
  <c r="CZ224" i="1"/>
  <c r="DS226" i="1"/>
  <c r="DR226" i="1" s="1"/>
  <c r="HH226" i="1"/>
  <c r="HG226" i="1" s="1"/>
  <c r="BT227" i="1"/>
  <c r="BS227" i="1" s="1"/>
  <c r="AC228" i="1"/>
  <c r="BV228" i="1"/>
  <c r="CF228" i="1" s="1"/>
  <c r="H230" i="1"/>
  <c r="FN213" i="1"/>
  <c r="FN285" i="1" s="1"/>
  <c r="BV236" i="1"/>
  <c r="CK236" i="1"/>
  <c r="K236" i="1"/>
  <c r="EO236" i="1"/>
  <c r="AV253" i="1"/>
  <c r="T269" i="1"/>
  <c r="DX269" i="1"/>
  <c r="H276" i="1"/>
  <c r="CW22" i="1"/>
  <c r="HH282" i="1"/>
  <c r="FR292" i="1"/>
  <c r="BV293" i="1"/>
  <c r="CF293" i="1" s="1"/>
  <c r="CQ293" i="1"/>
  <c r="J294" i="1"/>
  <c r="EK347" i="1"/>
  <c r="EM346" i="1"/>
  <c r="EM22" i="1" s="1"/>
  <c r="FA349" i="1"/>
  <c r="EZ349" i="1" s="1"/>
  <c r="FC349" i="1"/>
  <c r="FT349" i="1" s="1"/>
  <c r="FD348" i="1"/>
  <c r="FV348" i="1" s="1"/>
  <c r="K364" i="1"/>
  <c r="K361" i="1" s="1"/>
  <c r="M361" i="1"/>
  <c r="ID292" i="1"/>
  <c r="EP294" i="1"/>
  <c r="EP292" i="1" s="1"/>
  <c r="CB295" i="1"/>
  <c r="CT295" i="1"/>
  <c r="W296" i="1"/>
  <c r="DI296" i="1"/>
  <c r="CK297" i="1"/>
  <c r="EO294" i="1"/>
  <c r="BT298" i="1"/>
  <c r="Y298" i="1"/>
  <c r="AK302" i="1"/>
  <c r="AL302" i="1" s="1"/>
  <c r="EO293" i="1"/>
  <c r="CN305" i="1"/>
  <c r="HK306" i="1"/>
  <c r="HL304" i="1"/>
  <c r="HK304" i="1" s="1"/>
  <c r="EF290" i="1"/>
  <c r="EF354" i="1" s="1"/>
  <c r="EP310" i="1"/>
  <c r="EO310" i="1" s="1"/>
  <c r="FO316" i="1"/>
  <c r="FH316" i="1"/>
  <c r="FG316" i="1" s="1"/>
  <c r="BC310" i="1"/>
  <c r="FK346" i="1"/>
  <c r="EP349" i="1"/>
  <c r="EK349" i="1"/>
  <c r="HX349" i="1"/>
  <c r="HW349" i="1" s="1"/>
  <c r="DT364" i="1"/>
  <c r="DT361" i="1" s="1"/>
  <c r="DR361" i="1" s="1"/>
  <c r="FC172" i="1"/>
  <c r="GH172" i="1"/>
  <c r="FZ172" i="1"/>
  <c r="GP172" i="1"/>
  <c r="GB173" i="1"/>
  <c r="FT173" i="1"/>
  <c r="GJ173" i="1"/>
  <c r="BV176" i="1"/>
  <c r="EG175" i="1"/>
  <c r="FT176" i="1"/>
  <c r="GB176" i="1"/>
  <c r="GJ176" i="1"/>
  <c r="HK175" i="1"/>
  <c r="DU175" i="1"/>
  <c r="FT179" i="1"/>
  <c r="GB179" i="1"/>
  <c r="GJ179" i="1"/>
  <c r="Q180" i="1"/>
  <c r="GJ182" i="1"/>
  <c r="FT182" i="1"/>
  <c r="GB182" i="1"/>
  <c r="BH183" i="1"/>
  <c r="CB183" i="1"/>
  <c r="CF183" i="1" s="1"/>
  <c r="CQ183" i="1"/>
  <c r="FT186" i="1"/>
  <c r="GB186" i="1"/>
  <c r="GJ186" i="1"/>
  <c r="FT187" i="1"/>
  <c r="GB187" i="1"/>
  <c r="GJ187" i="1"/>
  <c r="FE189" i="1"/>
  <c r="FT193" i="1"/>
  <c r="GJ193" i="1"/>
  <c r="GB193" i="1"/>
  <c r="EV190" i="1"/>
  <c r="EV189" i="1" s="1"/>
  <c r="EV17" i="1" s="1"/>
  <c r="GJ199" i="1"/>
  <c r="GB199" i="1"/>
  <c r="FT199" i="1"/>
  <c r="GD206" i="1"/>
  <c r="FV206" i="1"/>
  <c r="GL206" i="1"/>
  <c r="EI357" i="1"/>
  <c r="EI27" i="1" s="1"/>
  <c r="EI12" i="1" s="1"/>
  <c r="EU357" i="1"/>
  <c r="EU27" i="1" s="1"/>
  <c r="EU12" i="1" s="1"/>
  <c r="GW357" i="1"/>
  <c r="GW27" i="1" s="1"/>
  <c r="GW12" i="1" s="1"/>
  <c r="HQ357" i="1"/>
  <c r="HQ27" i="1" s="1"/>
  <c r="HQ12" i="1" s="1"/>
  <c r="AP359" i="1"/>
  <c r="AP397" i="1" s="1"/>
  <c r="AP14" i="1" s="1"/>
  <c r="CX359" i="1"/>
  <c r="CX29" i="1" s="1"/>
  <c r="DV359" i="1"/>
  <c r="DV29" i="1" s="1"/>
  <c r="EL359" i="1"/>
  <c r="EL397" i="1" s="1"/>
  <c r="FQ359" i="1"/>
  <c r="FQ397" i="1" s="1"/>
  <c r="HI359" i="1"/>
  <c r="HQ359" i="1"/>
  <c r="HY359" i="1"/>
  <c r="CT218" i="1"/>
  <c r="DX217" i="1"/>
  <c r="CH217" i="1"/>
  <c r="CH216" i="1" s="1"/>
  <c r="DX224" i="1"/>
  <c r="FK224" i="1"/>
  <c r="K228" i="1"/>
  <c r="Q228" i="1"/>
  <c r="AV228" i="1"/>
  <c r="BY230" i="1"/>
  <c r="FK236" i="1"/>
  <c r="H239" i="1"/>
  <c r="W239" i="1"/>
  <c r="AV244" i="1"/>
  <c r="GV244" i="1"/>
  <c r="GU244" i="1" s="1"/>
  <c r="HT244" i="1"/>
  <c r="HS244" i="1" s="1"/>
  <c r="FK253" i="1"/>
  <c r="DT263" i="1"/>
  <c r="DT288" i="1" s="1"/>
  <c r="CZ263" i="1"/>
  <c r="CZ288" i="1" s="1"/>
  <c r="HW267" i="1"/>
  <c r="DO269" i="1"/>
  <c r="N272" i="1"/>
  <c r="CM269" i="1"/>
  <c r="CZ269" i="1"/>
  <c r="EG279" i="1"/>
  <c r="EI354" i="1"/>
  <c r="ES292" i="1"/>
  <c r="FA293" i="1"/>
  <c r="EZ293" i="1" s="1"/>
  <c r="HN292" i="1"/>
  <c r="U292" i="1"/>
  <c r="DU294" i="1"/>
  <c r="DU295" i="1"/>
  <c r="EW295" i="1"/>
  <c r="FK295" i="1"/>
  <c r="Y293" i="1"/>
  <c r="AG293" i="1"/>
  <c r="CK296" i="1"/>
  <c r="W297" i="1"/>
  <c r="DL294" i="1"/>
  <c r="ED297" i="1"/>
  <c r="X298" i="1"/>
  <c r="CL298" i="1"/>
  <c r="DO298" i="1"/>
  <c r="FK298" i="1"/>
  <c r="CO299" i="1"/>
  <c r="CN299" i="1" s="1"/>
  <c r="CW293" i="1"/>
  <c r="AV300" i="1"/>
  <c r="HL298" i="1"/>
  <c r="HK298" i="1" s="1"/>
  <c r="BB301" i="1"/>
  <c r="CQ301" i="1"/>
  <c r="EB301" i="1"/>
  <c r="EA301" i="1" s="1"/>
  <c r="EL301" i="1"/>
  <c r="EK301" i="1" s="1"/>
  <c r="HX302" i="1"/>
  <c r="HW302" i="1" s="1"/>
  <c r="HK302" i="1"/>
  <c r="N303" i="1"/>
  <c r="FH303" i="1"/>
  <c r="FG303" i="1" s="1"/>
  <c r="BZ304" i="1"/>
  <c r="BY304" i="1" s="1"/>
  <c r="EP304" i="1"/>
  <c r="EO304" i="1" s="1"/>
  <c r="BY306" i="1"/>
  <c r="DV310" i="1"/>
  <c r="DS316" i="1"/>
  <c r="DR316" i="1" s="1"/>
  <c r="DI316" i="1"/>
  <c r="HS316" i="1"/>
  <c r="FO326" i="1"/>
  <c r="FH326" i="1"/>
  <c r="FG326" i="1" s="1"/>
  <c r="AD310" i="1"/>
  <c r="EE346" i="1"/>
  <c r="ED346" i="1" s="1"/>
  <c r="EG346" i="1"/>
  <c r="EG347" i="1" s="1"/>
  <c r="HQ361" i="1"/>
  <c r="T364" i="1"/>
  <c r="T361" i="1" s="1"/>
  <c r="V361" i="1"/>
  <c r="IA371" i="1"/>
  <c r="HX380" i="1"/>
  <c r="HW380" i="1" s="1"/>
  <c r="IA380" i="1"/>
  <c r="IB377" i="1"/>
  <c r="IA377" i="1" s="1"/>
  <c r="T387" i="1"/>
  <c r="AS390" i="1"/>
  <c r="AZ390" i="1"/>
  <c r="AY390" i="1" s="1"/>
  <c r="ID361" i="1"/>
  <c r="GV387" i="1"/>
  <c r="GV15" i="1" s="1"/>
  <c r="G310" i="1"/>
  <c r="AA310" i="1"/>
  <c r="AE310" i="1"/>
  <c r="AI310" i="1"/>
  <c r="BD310" i="1"/>
  <c r="BK310" i="1"/>
  <c r="BU310" i="1"/>
  <c r="FC346" i="1"/>
  <c r="FT346" i="1" s="1"/>
  <c r="FK352" i="1"/>
  <c r="FK23" i="1" s="1"/>
  <c r="IC361" i="1"/>
  <c r="FQ361" i="1"/>
  <c r="FC377" i="1"/>
  <c r="CM301" i="1"/>
  <c r="AX301" i="1"/>
  <c r="W305" i="1"/>
  <c r="BE305" i="1"/>
  <c r="W306" i="1"/>
  <c r="AQ310" i="1"/>
  <c r="AB310" i="1"/>
  <c r="AJ310" i="1"/>
  <c r="AU310" i="1"/>
  <c r="BQ310" i="1"/>
  <c r="FO332" i="1"/>
  <c r="EP353" i="1"/>
  <c r="EP352" i="1" s="1"/>
  <c r="Z361" i="1"/>
  <c r="AK361" i="1" s="1"/>
  <c r="FD361" i="1"/>
  <c r="FV361" i="1" s="1"/>
  <c r="HM361" i="1"/>
  <c r="EM361" i="1"/>
  <c r="GU363" i="1"/>
  <c r="HS371" i="1"/>
  <c r="CG137" i="1"/>
  <c r="CG211" i="1" s="1"/>
  <c r="CG187" i="1" s="1"/>
  <c r="AI285" i="1"/>
  <c r="BE225" i="1"/>
  <c r="BE226" i="1"/>
  <c r="CB142" i="1"/>
  <c r="AN285" i="1"/>
  <c r="DN292" i="1"/>
  <c r="DN290" i="1" s="1"/>
  <c r="DN354" i="1" s="1"/>
  <c r="DT292" i="1"/>
  <c r="DT290" i="1" s="1"/>
  <c r="DT354" i="1" s="1"/>
  <c r="CK137" i="1"/>
  <c r="CK211" i="1" s="1"/>
  <c r="CK187" i="1" s="1"/>
  <c r="CO137" i="1"/>
  <c r="CO211" i="1" s="1"/>
  <c r="CO187" i="1" s="1"/>
  <c r="CS137" i="1"/>
  <c r="CS211" i="1" s="1"/>
  <c r="CS359" i="1" s="1"/>
  <c r="DE190" i="1"/>
  <c r="DE189" i="1" s="1"/>
  <c r="DE207" i="1" s="1"/>
  <c r="DX216" i="1"/>
  <c r="DK292" i="1"/>
  <c r="DK290" i="1" s="1"/>
  <c r="DK354" i="1" s="1"/>
  <c r="EM29" i="1"/>
  <c r="Z110" i="1"/>
  <c r="AK110" i="1" s="1"/>
  <c r="AL110" i="1" s="1"/>
  <c r="FR357" i="1"/>
  <c r="FR27" i="1" s="1"/>
  <c r="FR12" i="1" s="1"/>
  <c r="CE137" i="1"/>
  <c r="CE211" i="1" s="1"/>
  <c r="CE187" i="1" s="1"/>
  <c r="CI137" i="1"/>
  <c r="CI211" i="1" s="1"/>
  <c r="CI359" i="1" s="1"/>
  <c r="CI29" i="1" s="1"/>
  <c r="CM137" i="1"/>
  <c r="CM211" i="1" s="1"/>
  <c r="CM187" i="1" s="1"/>
  <c r="CQ137" i="1"/>
  <c r="CQ211" i="1" s="1"/>
  <c r="CQ187" i="1" s="1"/>
  <c r="AB359" i="1"/>
  <c r="AB397" i="1" s="1"/>
  <c r="AB14" i="1" s="1"/>
  <c r="EJ292" i="1"/>
  <c r="AD292" i="1"/>
  <c r="CQ294" i="1"/>
  <c r="HJ374" i="1"/>
  <c r="HG374" i="1" s="1"/>
  <c r="O224" i="1"/>
  <c r="H227" i="1"/>
  <c r="AH292" i="1"/>
  <c r="AQ292" i="1"/>
  <c r="CK316" i="1"/>
  <c r="HJ371" i="1"/>
  <c r="HG371" i="1" s="1"/>
  <c r="Z40" i="1"/>
  <c r="AK40" i="1" s="1"/>
  <c r="Z113" i="1"/>
  <c r="AK113" i="1" s="1"/>
  <c r="AL113" i="1" s="1"/>
  <c r="EC190" i="1"/>
  <c r="EC189" i="1" s="1"/>
  <c r="EC207" i="1" s="1"/>
  <c r="AJ359" i="1"/>
  <c r="AJ397" i="1" s="1"/>
  <c r="AJ14" i="1" s="1"/>
  <c r="L213" i="1"/>
  <c r="L285" i="1" s="1"/>
  <c r="AM285" i="1"/>
  <c r="AA292" i="1"/>
  <c r="DP292" i="1"/>
  <c r="BE316" i="1"/>
  <c r="BX213" i="1"/>
  <c r="Y224" i="1"/>
  <c r="CN265" i="1"/>
  <c r="CN264" i="1" s="1"/>
  <c r="CN263" i="1" s="1"/>
  <c r="CN242" i="1" s="1"/>
  <c r="CN239" i="1" s="1"/>
  <c r="CN238" i="1" s="1"/>
  <c r="CN236" i="1" s="1"/>
  <c r="CN230" i="1" s="1"/>
  <c r="CN229" i="1" s="1"/>
  <c r="CN228" i="1" s="1"/>
  <c r="CN227" i="1" s="1"/>
  <c r="CN226" i="1" s="1"/>
  <c r="CN225" i="1" s="1"/>
  <c r="CN224" i="1" s="1"/>
  <c r="HG375" i="1"/>
  <c r="EF22" i="1"/>
  <c r="EQ29" i="1"/>
  <c r="CU137" i="1"/>
  <c r="FI357" i="1"/>
  <c r="FI27" i="1" s="1"/>
  <c r="FI12" i="1" s="1"/>
  <c r="ET359" i="1"/>
  <c r="ET397" i="1" s="1"/>
  <c r="BD213" i="1"/>
  <c r="BD285" i="1" s="1"/>
  <c r="IC285" i="1"/>
  <c r="EV291" i="1"/>
  <c r="EV290" i="1" s="1"/>
  <c r="EV354" i="1" s="1"/>
  <c r="Z301" i="1"/>
  <c r="W313" i="1"/>
  <c r="AV319" i="1"/>
  <c r="FR371" i="1"/>
  <c r="FO371" i="1" s="1"/>
  <c r="HR371" i="1"/>
  <c r="HO371" i="1" s="1"/>
  <c r="FO19" i="1"/>
  <c r="EC22" i="1"/>
  <c r="Z116" i="1"/>
  <c r="AK116" i="1" s="1"/>
  <c r="AL116" i="1" s="1"/>
  <c r="Z119" i="1"/>
  <c r="AK119" i="1" s="1"/>
  <c r="AL119" i="1" s="1"/>
  <c r="CF137" i="1"/>
  <c r="CF211" i="1" s="1"/>
  <c r="CF187" i="1" s="1"/>
  <c r="CJ137" i="1"/>
  <c r="CJ211" i="1" s="1"/>
  <c r="CJ187" i="1" s="1"/>
  <c r="CN137" i="1"/>
  <c r="CN211" i="1" s="1"/>
  <c r="CN187" i="1" s="1"/>
  <c r="CR137" i="1"/>
  <c r="CR211" i="1" s="1"/>
  <c r="CR359" i="1" s="1"/>
  <c r="CR397" i="1" s="1"/>
  <c r="CR14" i="1" s="1"/>
  <c r="CB150" i="1"/>
  <c r="EY152" i="1"/>
  <c r="EW152" i="1" s="1"/>
  <c r="FQ357" i="1"/>
  <c r="FQ27" i="1" s="1"/>
  <c r="FQ12" i="1" s="1"/>
  <c r="BO213" i="1"/>
  <c r="BO285" i="1" s="1"/>
  <c r="N227" i="1"/>
  <c r="CY292" i="1"/>
  <c r="CY290" i="1" s="1"/>
  <c r="CY354" i="1" s="1"/>
  <c r="DQ292" i="1"/>
  <c r="DQ290" i="1" s="1"/>
  <c r="DQ354" i="1" s="1"/>
  <c r="EN292" i="1"/>
  <c r="BU292" i="1"/>
  <c r="BY317" i="1"/>
  <c r="HR363" i="1"/>
  <c r="HR374" i="1"/>
  <c r="HO374" i="1" s="1"/>
  <c r="AD213" i="1"/>
  <c r="AD285" i="1" s="1"/>
  <c r="AD355" i="1" s="1"/>
  <c r="HY285" i="1"/>
  <c r="AE292" i="1"/>
  <c r="AV317" i="1"/>
  <c r="FM29" i="1"/>
  <c r="CV31" i="1"/>
  <c r="AI359" i="1"/>
  <c r="AI397" i="1" s="1"/>
  <c r="AI14" i="1" s="1"/>
  <c r="AU213" i="1"/>
  <c r="AA228" i="1"/>
  <c r="X228" i="1" s="1"/>
  <c r="W228" i="1" s="1"/>
  <c r="AG244" i="1"/>
  <c r="FI286" i="1"/>
  <c r="AI292" i="1"/>
  <c r="AU292" i="1"/>
  <c r="DH292" i="1"/>
  <c r="DH290" i="1" s="1"/>
  <c r="DH354" i="1" s="1"/>
  <c r="FJ292" i="1"/>
  <c r="AB292" i="1"/>
  <c r="BA292" i="1"/>
  <c r="CC292" i="1"/>
  <c r="CJ292" i="1"/>
  <c r="CO316" i="1"/>
  <c r="BY319" i="1"/>
  <c r="DH190" i="1"/>
  <c r="DH189" i="1" s="1"/>
  <c r="V216" i="1"/>
  <c r="V213" i="1" s="1"/>
  <c r="V285" i="1" s="1"/>
  <c r="CQ228" i="1"/>
  <c r="CP265" i="1"/>
  <c r="CP264" i="1" s="1"/>
  <c r="CP263" i="1" s="1"/>
  <c r="CP288" i="1" s="1"/>
  <c r="BJ292" i="1"/>
  <c r="EU359" i="1"/>
  <c r="EU397" i="1" s="1"/>
  <c r="AE213" i="1"/>
  <c r="AE285" i="1" s="1"/>
  <c r="U213" i="1"/>
  <c r="BJ213" i="1"/>
  <c r="BJ285" i="1" s="1"/>
  <c r="BQ213" i="1"/>
  <c r="BQ285" i="1" s="1"/>
  <c r="W226" i="1"/>
  <c r="BH295" i="1"/>
  <c r="W319" i="1"/>
  <c r="BG224" i="1"/>
  <c r="BE227" i="1"/>
  <c r="AS264" i="1"/>
  <c r="BA264" i="1"/>
  <c r="AY264" i="1" s="1"/>
  <c r="CO317" i="1"/>
  <c r="CN317" i="1" s="1"/>
  <c r="AF44" i="1"/>
  <c r="G213" i="1"/>
  <c r="BR213" i="1"/>
  <c r="BR285" i="1" s="1"/>
  <c r="H225" i="1"/>
  <c r="P224" i="1"/>
  <c r="AU263" i="1"/>
  <c r="HQ286" i="1"/>
  <c r="BE313" i="1"/>
  <c r="BY316" i="1"/>
  <c r="H317" i="1"/>
  <c r="BA310" i="1"/>
  <c r="HS332" i="1"/>
  <c r="IC332" i="1"/>
  <c r="IC290" i="1" s="1"/>
  <c r="CW12" i="1"/>
  <c r="CN31" i="1"/>
  <c r="AG44" i="1"/>
  <c r="Z65" i="1"/>
  <c r="AK65" i="1" s="1"/>
  <c r="AL65" i="1" s="1"/>
  <c r="AQ213" i="1"/>
  <c r="AQ285" i="1" s="1"/>
  <c r="BA213" i="1"/>
  <c r="BO292" i="1"/>
  <c r="N319" i="1"/>
  <c r="DZ137" i="1"/>
  <c r="DZ211" i="1" s="1"/>
  <c r="DZ359" i="1" s="1"/>
  <c r="EY190" i="1"/>
  <c r="EY189" i="1" s="1"/>
  <c r="AE359" i="1"/>
  <c r="AM359" i="1"/>
  <c r="CS213" i="1"/>
  <c r="CS285" i="1" s="1"/>
  <c r="AH213" i="1"/>
  <c r="AB213" i="1"/>
  <c r="AB285" i="1" s="1"/>
  <c r="BF224" i="1"/>
  <c r="BU213" i="1"/>
  <c r="HI285" i="1"/>
  <c r="EI286" i="1"/>
  <c r="EI356" i="1" s="1"/>
  <c r="EI26" i="1" s="1"/>
  <c r="EI11" i="1" s="1"/>
  <c r="HU290" i="1"/>
  <c r="AN292" i="1"/>
  <c r="AN290" i="1" s="1"/>
  <c r="BW292" i="1"/>
  <c r="CD292" i="1"/>
  <c r="CD290" i="1" s="1"/>
  <c r="BM310" i="1"/>
  <c r="AV316" i="1"/>
  <c r="HO375" i="1"/>
  <c r="DN190" i="1"/>
  <c r="DN189" i="1" s="1"/>
  <c r="EF190" i="1"/>
  <c r="EF189" i="1" s="1"/>
  <c r="J224" i="1"/>
  <c r="W225" i="1"/>
  <c r="N226" i="1"/>
  <c r="CJ213" i="1"/>
  <c r="HM285" i="1"/>
  <c r="AM292" i="1"/>
  <c r="AM290" i="1" s="1"/>
  <c r="CX292" i="1"/>
  <c r="AP292" i="1"/>
  <c r="BC292" i="1"/>
  <c r="BH294" i="1"/>
  <c r="BN292" i="1"/>
  <c r="BR292" i="1"/>
  <c r="Z298" i="1"/>
  <c r="BI310" i="1"/>
  <c r="BN310" i="1"/>
  <c r="N317" i="1"/>
  <c r="W317" i="1"/>
  <c r="BE317" i="1"/>
  <c r="CI15" i="1"/>
  <c r="FA218" i="1"/>
  <c r="EZ218" i="1" s="1"/>
  <c r="X227" i="1"/>
  <c r="W227" i="1" s="1"/>
  <c r="AH263" i="1"/>
  <c r="AH288" i="1" s="1"/>
  <c r="AG387" i="1"/>
  <c r="AA51" i="1"/>
  <c r="X54" i="1"/>
  <c r="W54" i="1" s="1"/>
  <c r="DX152" i="1"/>
  <c r="AA224" i="1"/>
  <c r="Z227" i="1"/>
  <c r="Z224" i="1" s="1"/>
  <c r="AK224" i="1" s="1"/>
  <c r="AT228" i="1"/>
  <c r="AS228" i="1" s="1"/>
  <c r="AG236" i="1"/>
  <c r="AF242" i="1"/>
  <c r="AR242" i="1" s="1"/>
  <c r="AR236" i="1" s="1"/>
  <c r="AS276" i="1"/>
  <c r="AF227" i="1"/>
  <c r="AF224" i="1" s="1"/>
  <c r="AG224" i="1"/>
  <c r="AL267" i="1"/>
  <c r="AR267" i="1"/>
  <c r="AR263" i="1" s="1"/>
  <c r="AR288" i="1" s="1"/>
  <c r="AR359" i="1" s="1"/>
  <c r="AR29" i="1" s="1"/>
  <c r="AF263" i="1"/>
  <c r="AL263" i="1" s="1"/>
  <c r="AL288" i="1" s="1"/>
  <c r="AZ229" i="1"/>
  <c r="AY229" i="1" s="1"/>
  <c r="BL229" i="1" s="1"/>
  <c r="AD51" i="1"/>
  <c r="Z53" i="1"/>
  <c r="Z54" i="1"/>
  <c r="AK54" i="1" s="1"/>
  <c r="AL54" i="1" s="1"/>
  <c r="Z229" i="1"/>
  <c r="AK229" i="1" s="1"/>
  <c r="AG253" i="1"/>
  <c r="AT269" i="1"/>
  <c r="AS272" i="1"/>
  <c r="Z47" i="1"/>
  <c r="AK47" i="1" s="1"/>
  <c r="AC51" i="1"/>
  <c r="AS221" i="1"/>
  <c r="BG265" i="1"/>
  <c r="BE265" i="1" s="1"/>
  <c r="AS270" i="1"/>
  <c r="AJ44" i="1"/>
  <c r="AI47" i="1"/>
  <c r="AL47" i="1"/>
  <c r="FG104" i="1"/>
  <c r="R207" i="1"/>
  <c r="Q31" i="1"/>
  <c r="Q207" i="1" s="1"/>
  <c r="ED44" i="1"/>
  <c r="HO139" i="1"/>
  <c r="HV139" i="1" s="1"/>
  <c r="HR138" i="1"/>
  <c r="FQ208" i="1"/>
  <c r="FQ207" i="1"/>
  <c r="HW41" i="1"/>
  <c r="HX40" i="1"/>
  <c r="FA113" i="1"/>
  <c r="EZ113" i="1" s="1"/>
  <c r="EZ114" i="1"/>
  <c r="BZ226" i="1"/>
  <c r="BY226" i="1" s="1"/>
  <c r="CI226" i="1" s="1"/>
  <c r="CB226" i="1"/>
  <c r="CC224" i="1"/>
  <c r="Z46" i="1"/>
  <c r="AK46" i="1" s="1"/>
  <c r="AA44" i="1"/>
  <c r="Z44" i="1" s="1"/>
  <c r="DM68" i="1"/>
  <c r="DS68" i="1" s="1"/>
  <c r="DG68" i="1"/>
  <c r="HG167" i="1"/>
  <c r="HN167" i="1" s="1"/>
  <c r="HK167" i="1" s="1"/>
  <c r="HJ166" i="1"/>
  <c r="HG166" i="1" s="1"/>
  <c r="DY203" i="1"/>
  <c r="DX180" i="1"/>
  <c r="DX203" i="1" s="1"/>
  <c r="AD180" i="1"/>
  <c r="AC180" i="1" s="1"/>
  <c r="AC181" i="1"/>
  <c r="FG180" i="1"/>
  <c r="FG203" i="1" s="1"/>
  <c r="FH203" i="1"/>
  <c r="BL184" i="1"/>
  <c r="AZ183" i="1"/>
  <c r="BT184" i="1"/>
  <c r="CY190" i="1"/>
  <c r="CY189" i="1" s="1"/>
  <c r="CW197" i="1"/>
  <c r="CX190" i="1"/>
  <c r="EP203" i="1"/>
  <c r="FO204" i="1"/>
  <c r="FP203" i="1"/>
  <c r="FO203" i="1" s="1"/>
  <c r="DJ203" i="1"/>
  <c r="DI203" i="1" s="1"/>
  <c r="DI206" i="1"/>
  <c r="BD211" i="1"/>
  <c r="EW219" i="1"/>
  <c r="EW217" i="1" s="1"/>
  <c r="EX217" i="1"/>
  <c r="EX216" i="1" s="1"/>
  <c r="AL225" i="1"/>
  <c r="CU225" i="1"/>
  <c r="CT225" i="1" s="1"/>
  <c r="CA224" i="1"/>
  <c r="CA213" i="1" s="1"/>
  <c r="BY225" i="1"/>
  <c r="FA225" i="1"/>
  <c r="EX224" i="1"/>
  <c r="EW225" i="1"/>
  <c r="CK229" i="1"/>
  <c r="CL228" i="1"/>
  <c r="FO238" i="1"/>
  <c r="FH238" i="1"/>
  <c r="FG250" i="1"/>
  <c r="FH249" i="1"/>
  <c r="DC267" i="1"/>
  <c r="DE263" i="1"/>
  <c r="BS298" i="1"/>
  <c r="BS293" i="1"/>
  <c r="U31" i="1"/>
  <c r="U207" i="1" s="1"/>
  <c r="DA35" i="1"/>
  <c r="EP35" i="1"/>
  <c r="X40" i="1"/>
  <c r="W40" i="1" s="1"/>
  <c r="HO40" i="1"/>
  <c r="HX46" i="1"/>
  <c r="HW46" i="1" s="1"/>
  <c r="Q47" i="1"/>
  <c r="R44" i="1"/>
  <c r="Q44" i="1" s="1"/>
  <c r="DG51" i="1"/>
  <c r="DF51" i="1" s="1"/>
  <c r="FA51" i="1"/>
  <c r="EZ51" i="1" s="1"/>
  <c r="FL191" i="1"/>
  <c r="FK51" i="1"/>
  <c r="FK191" i="1" s="1"/>
  <c r="AF51" i="1"/>
  <c r="AL51" i="1" s="1"/>
  <c r="Z59" i="1"/>
  <c r="AK59" i="1" s="1"/>
  <c r="AL59" i="1" s="1"/>
  <c r="DS78" i="1"/>
  <c r="DR78" i="1" s="1"/>
  <c r="DG88" i="1"/>
  <c r="DF88" i="1" s="1"/>
  <c r="AK104" i="1"/>
  <c r="BL104" i="1"/>
  <c r="AY104" i="1"/>
  <c r="HX104" i="1"/>
  <c r="BT119" i="1"/>
  <c r="BS119" i="1" s="1"/>
  <c r="EG120" i="1"/>
  <c r="EH119" i="1"/>
  <c r="EG119" i="1" s="1"/>
  <c r="HL120" i="1"/>
  <c r="HL125" i="1"/>
  <c r="HK125" i="1" s="1"/>
  <c r="DL127" i="1"/>
  <c r="DM125" i="1"/>
  <c r="DL125" i="1" s="1"/>
  <c r="EL132" i="1"/>
  <c r="EK132" i="1" s="1"/>
  <c r="W137" i="1"/>
  <c r="GX137" i="1"/>
  <c r="CW176" i="1"/>
  <c r="CX175" i="1"/>
  <c r="DS177" i="1"/>
  <c r="EE179" i="1"/>
  <c r="ED179" i="1" s="1"/>
  <c r="DU179" i="1"/>
  <c r="BE182" i="1"/>
  <c r="BF180" i="1"/>
  <c r="BE180" i="1" s="1"/>
  <c r="ET183" i="1"/>
  <c r="ES183" i="1" s="1"/>
  <c r="CK184" i="1"/>
  <c r="CL183" i="1"/>
  <c r="CK183" i="1" s="1"/>
  <c r="P187" i="1"/>
  <c r="N187" i="1" s="1"/>
  <c r="Q187" i="1"/>
  <c r="HH192" i="1"/>
  <c r="HH214" i="1" s="1"/>
  <c r="EH203" i="1"/>
  <c r="EG203" i="1" s="1"/>
  <c r="AH211" i="1"/>
  <c r="CZ216" i="1"/>
  <c r="DA213" i="1"/>
  <c r="DA285" i="1" s="1"/>
  <c r="Q219" i="1"/>
  <c r="Q216" i="1" s="1"/>
  <c r="R217" i="1"/>
  <c r="R216" i="1" s="1"/>
  <c r="R213" i="1" s="1"/>
  <c r="CK219" i="1"/>
  <c r="CK217" i="1" s="1"/>
  <c r="CK216" i="1" s="1"/>
  <c r="CM217" i="1"/>
  <c r="CM216" i="1" s="1"/>
  <c r="FP219" i="1"/>
  <c r="FA219" i="1"/>
  <c r="FC219" i="1"/>
  <c r="HX219" i="1"/>
  <c r="HW219" i="1" s="1"/>
  <c r="HK219" i="1"/>
  <c r="HX220" i="1"/>
  <c r="HW220" i="1" s="1"/>
  <c r="HK220" i="1"/>
  <c r="AR221" i="1"/>
  <c r="AL221" i="1"/>
  <c r="EL224" i="1"/>
  <c r="EK224" i="1" s="1"/>
  <c r="EK225" i="1"/>
  <c r="EW238" i="1"/>
  <c r="EW236" i="1" s="1"/>
  <c r="EX236" i="1"/>
  <c r="FA238" i="1"/>
  <c r="AF270" i="1"/>
  <c r="AG269" i="1"/>
  <c r="BT272" i="1"/>
  <c r="BI272" i="1"/>
  <c r="AY272" i="1"/>
  <c r="BL272" i="1" s="1"/>
  <c r="N276" i="1"/>
  <c r="P269" i="1"/>
  <c r="EO151" i="1"/>
  <c r="HR154" i="1"/>
  <c r="HO154" i="1" s="1"/>
  <c r="HV154" i="1" s="1"/>
  <c r="HS154" i="1" s="1"/>
  <c r="HZ154" i="1" s="1"/>
  <c r="HW154" i="1" s="1"/>
  <c r="ID154" i="1" s="1"/>
  <c r="IA154" i="1" s="1"/>
  <c r="HO163" i="1"/>
  <c r="BC31" i="1"/>
  <c r="BC207" i="1" s="1"/>
  <c r="BT31" i="1"/>
  <c r="BT207" i="1" s="1"/>
  <c r="CX35" i="1"/>
  <c r="DQ35" i="1"/>
  <c r="DQ31" i="1" s="1"/>
  <c r="DV35" i="1"/>
  <c r="FO209" i="1"/>
  <c r="HH37" i="1"/>
  <c r="HP33" i="1"/>
  <c r="HX37" i="1"/>
  <c r="BT40" i="1"/>
  <c r="EW40" i="1"/>
  <c r="FN35" i="1"/>
  <c r="FN31" i="1" s="1"/>
  <c r="O44" i="1"/>
  <c r="N44" i="1" s="1"/>
  <c r="BZ44" i="1"/>
  <c r="BY44" i="1" s="1"/>
  <c r="ET44" i="1"/>
  <c r="ES44" i="1" s="1"/>
  <c r="HT44" i="1"/>
  <c r="HS44" i="1" s="1"/>
  <c r="EG45" i="1"/>
  <c r="EH44" i="1"/>
  <c r="EG44" i="1" s="1"/>
  <c r="DG46" i="1"/>
  <c r="DJ44" i="1"/>
  <c r="DI44" i="1" s="1"/>
  <c r="DS46" i="1"/>
  <c r="R51" i="1"/>
  <c r="Q51" i="1" s="1"/>
  <c r="Q211" i="1" s="1"/>
  <c r="AG51" i="1"/>
  <c r="BF51" i="1"/>
  <c r="BE51" i="1" s="1"/>
  <c r="BE211" i="1" s="1"/>
  <c r="BT51" i="1"/>
  <c r="HH51" i="1"/>
  <c r="HG51" i="1" s="1"/>
  <c r="DS53" i="1"/>
  <c r="BF59" i="1"/>
  <c r="BE59" i="1" s="1"/>
  <c r="DI59" i="1"/>
  <c r="FK59" i="1"/>
  <c r="BZ65" i="1"/>
  <c r="BY65" i="1" s="1"/>
  <c r="DJ65" i="1"/>
  <c r="DI65" i="1" s="1"/>
  <c r="BS65" i="1"/>
  <c r="HH67" i="1"/>
  <c r="DS77" i="1"/>
  <c r="X88" i="1"/>
  <c r="W88" i="1" s="1"/>
  <c r="BF88" i="1"/>
  <c r="BE88" i="1" s="1"/>
  <c r="H89" i="1"/>
  <c r="I88" i="1"/>
  <c r="H88" i="1" s="1"/>
  <c r="CK89" i="1"/>
  <c r="CL88" i="1"/>
  <c r="CK88" i="1" s="1"/>
  <c r="H93" i="1"/>
  <c r="I91" i="1"/>
  <c r="H91" i="1" s="1"/>
  <c r="O104" i="1"/>
  <c r="BV105" i="1"/>
  <c r="BV31" i="1" s="1"/>
  <c r="BV207" i="1" s="1"/>
  <c r="CS105" i="1"/>
  <c r="DY105" i="1"/>
  <c r="AW110" i="1"/>
  <c r="AV110" i="1" s="1"/>
  <c r="CH110" i="1"/>
  <c r="CI105" i="1"/>
  <c r="DM110" i="1"/>
  <c r="DU110" i="1"/>
  <c r="DU105" i="1" s="1"/>
  <c r="DV105" i="1"/>
  <c r="HL113" i="1"/>
  <c r="HK113" i="1" s="1"/>
  <c r="AW119" i="1"/>
  <c r="AV119" i="1" s="1"/>
  <c r="W121" i="1"/>
  <c r="W288" i="1" s="1"/>
  <c r="X119" i="1"/>
  <c r="W119" i="1" s="1"/>
  <c r="GV125" i="1"/>
  <c r="GU125" i="1" s="1"/>
  <c r="DG127" i="1"/>
  <c r="HL132" i="1"/>
  <c r="HK132" i="1" s="1"/>
  <c r="DI136" i="1"/>
  <c r="AL137" i="1"/>
  <c r="AL211" i="1" s="1"/>
  <c r="DB137" i="1"/>
  <c r="DQ137" i="1"/>
  <c r="EN137" i="1"/>
  <c r="HN139" i="1"/>
  <c r="ES140" i="1"/>
  <c r="EW142" i="1"/>
  <c r="ES151" i="1"/>
  <c r="DN154" i="1"/>
  <c r="DL154" i="1" s="1"/>
  <c r="ER154" i="1"/>
  <c r="EO154" i="1" s="1"/>
  <c r="CB158" i="1"/>
  <c r="DO158" i="1"/>
  <c r="CB162" i="1"/>
  <c r="CW162" i="1"/>
  <c r="FR162" i="1"/>
  <c r="FO162" i="1" s="1"/>
  <c r="DT163" i="1"/>
  <c r="ET162" i="1"/>
  <c r="CV162" i="1"/>
  <c r="CV158" i="1" s="1"/>
  <c r="CT164" i="1"/>
  <c r="CT162" i="1" s="1"/>
  <c r="CT158" i="1" s="1"/>
  <c r="HZ168" i="1"/>
  <c r="HW168" i="1" s="1"/>
  <c r="HR169" i="1"/>
  <c r="FN172" i="1"/>
  <c r="DH174" i="1"/>
  <c r="DF174" i="1" s="1"/>
  <c r="DI174" i="1"/>
  <c r="HO174" i="1"/>
  <c r="HZ174" i="1"/>
  <c r="HW174" i="1" s="1"/>
  <c r="DB175" i="1"/>
  <c r="DH175" i="1"/>
  <c r="DV175" i="1"/>
  <c r="FJ175" i="1"/>
  <c r="GV175" i="1"/>
  <c r="HT175" i="1"/>
  <c r="AI176" i="1"/>
  <c r="Z176" i="1"/>
  <c r="AK176" i="1" s="1"/>
  <c r="AL176" i="1" s="1"/>
  <c r="BF176" i="1"/>
  <c r="BE176" i="1" s="1"/>
  <c r="DD176" i="1"/>
  <c r="DK197" i="1"/>
  <c r="DK190" i="1" s="1"/>
  <c r="DK189" i="1" s="1"/>
  <c r="DI176" i="1"/>
  <c r="EB176" i="1"/>
  <c r="IA176" i="1"/>
  <c r="IA175" i="1" s="1"/>
  <c r="IB175" i="1"/>
  <c r="W177" i="1"/>
  <c r="X176" i="1"/>
  <c r="W176" i="1" s="1"/>
  <c r="EE178" i="1"/>
  <c r="ED178" i="1" s="1"/>
  <c r="CB179" i="1"/>
  <c r="CF179" i="1" s="1"/>
  <c r="BZ179" i="1"/>
  <c r="BY179" i="1" s="1"/>
  <c r="EN203" i="1"/>
  <c r="EN190" i="1" s="1"/>
  <c r="EN189" i="1" s="1"/>
  <c r="EN17" i="1" s="1"/>
  <c r="EN175" i="1"/>
  <c r="FP175" i="1"/>
  <c r="HX183" i="1"/>
  <c r="HW183" i="1" s="1"/>
  <c r="HW175" i="1" s="1"/>
  <c r="BE184" i="1"/>
  <c r="BF183" i="1"/>
  <c r="BE183" i="1" s="1"/>
  <c r="H185" i="1"/>
  <c r="I183" i="1"/>
  <c r="H183" i="1" s="1"/>
  <c r="AR187" i="1"/>
  <c r="AL187" i="1"/>
  <c r="CW191" i="1"/>
  <c r="GV191" i="1"/>
  <c r="EP197" i="1"/>
  <c r="FP197" i="1"/>
  <c r="FO197" i="1" s="1"/>
  <c r="HL197" i="1"/>
  <c r="HK197" i="1" s="1"/>
  <c r="EL198" i="1"/>
  <c r="HH198" i="1"/>
  <c r="DG199" i="1"/>
  <c r="DI200" i="1"/>
  <c r="DG201" i="1"/>
  <c r="DF201" i="1" s="1"/>
  <c r="ED201" i="1"/>
  <c r="HP203" i="1"/>
  <c r="HO203" i="1" s="1"/>
  <c r="HO204" i="1"/>
  <c r="AN359" i="1"/>
  <c r="DY213" i="1"/>
  <c r="DY285" i="1" s="1"/>
  <c r="M216" i="1"/>
  <c r="M213" i="1" s="1"/>
  <c r="K217" i="1"/>
  <c r="AT217" i="1"/>
  <c r="AT216" i="1" s="1"/>
  <c r="AZ218" i="1"/>
  <c r="DK218" i="1"/>
  <c r="DH217" i="1"/>
  <c r="DH216" i="1" s="1"/>
  <c r="DH213" i="1" s="1"/>
  <c r="HK223" i="1"/>
  <c r="HX223" i="1"/>
  <c r="HW223" i="1" s="1"/>
  <c r="BB224" i="1"/>
  <c r="DR225" i="1"/>
  <c r="EE227" i="1"/>
  <c r="ED227" i="1" s="1"/>
  <c r="DU227" i="1"/>
  <c r="BY238" i="1"/>
  <c r="EH236" i="1"/>
  <c r="EG238" i="1"/>
  <c r="EE238" i="1"/>
  <c r="EL238" i="1"/>
  <c r="EL237" i="1" s="1"/>
  <c r="EK237" i="1" s="1"/>
  <c r="HK238" i="1"/>
  <c r="HX238" i="1"/>
  <c r="HK242" i="1"/>
  <c r="HX242" i="1"/>
  <c r="HW242" i="1" s="1"/>
  <c r="P244" i="1"/>
  <c r="BV248" i="1"/>
  <c r="BV244" i="1" s="1"/>
  <c r="CE244" i="1" s="1"/>
  <c r="BW244" i="1"/>
  <c r="BB254" i="1"/>
  <c r="BB253" i="1" s="1"/>
  <c r="BC253" i="1"/>
  <c r="FJ263" i="1"/>
  <c r="FJ288" i="1" s="1"/>
  <c r="FG267" i="1"/>
  <c r="HZ288" i="1"/>
  <c r="HW263" i="1"/>
  <c r="HW288" i="1" s="1"/>
  <c r="DT269" i="1"/>
  <c r="DR274" i="1"/>
  <c r="EA277" i="1"/>
  <c r="EB22" i="1"/>
  <c r="EO280" i="1"/>
  <c r="EP279" i="1"/>
  <c r="EO279" i="1" s="1"/>
  <c r="FO104" i="1"/>
  <c r="EK117" i="1"/>
  <c r="EL116" i="1"/>
  <c r="EK116" i="1" s="1"/>
  <c r="BE121" i="1"/>
  <c r="BE288" i="1" s="1"/>
  <c r="BF119" i="1"/>
  <c r="BE119" i="1" s="1"/>
  <c r="HJ146" i="1"/>
  <c r="DY197" i="1"/>
  <c r="DY175" i="1"/>
  <c r="DX176" i="1"/>
  <c r="IA218" i="1"/>
  <c r="HX218" i="1"/>
  <c r="IB217" i="1"/>
  <c r="HP219" i="1"/>
  <c r="GV217" i="1"/>
  <c r="GU219" i="1"/>
  <c r="BH226" i="1"/>
  <c r="BI224" i="1"/>
  <c r="BH224" i="1" s="1"/>
  <c r="EW227" i="1"/>
  <c r="FA227" i="1"/>
  <c r="EZ227" i="1" s="1"/>
  <c r="BY254" i="1"/>
  <c r="BY253" i="1" s="1"/>
  <c r="BZ253" i="1"/>
  <c r="EG254" i="1"/>
  <c r="EK254" i="1"/>
  <c r="EH253" i="1"/>
  <c r="EG253" i="1" s="1"/>
  <c r="EY267" i="1"/>
  <c r="EY263" i="1" s="1"/>
  <c r="EY288" i="1" s="1"/>
  <c r="EA267" i="1"/>
  <c r="EA263" i="1" s="1"/>
  <c r="EA288" i="1" s="1"/>
  <c r="EA359" i="1" s="1"/>
  <c r="EC263" i="1"/>
  <c r="EC288" i="1" s="1"/>
  <c r="EC359" i="1" s="1"/>
  <c r="BT294" i="1"/>
  <c r="BS294" i="1" s="1"/>
  <c r="AY294" i="1"/>
  <c r="AR300" i="1"/>
  <c r="AL300" i="1"/>
  <c r="AL306" i="1"/>
  <c r="CI35" i="1"/>
  <c r="AD47" i="1"/>
  <c r="X47" i="1"/>
  <c r="W47" i="1" s="1"/>
  <c r="BL51" i="1"/>
  <c r="O59" i="1"/>
  <c r="N59" i="1" s="1"/>
  <c r="AI59" i="1"/>
  <c r="EL59" i="1"/>
  <c r="EK59" i="1" s="1"/>
  <c r="HT59" i="1"/>
  <c r="HS59" i="1" s="1"/>
  <c r="AW65" i="1"/>
  <c r="AV65" i="1" s="1"/>
  <c r="H67" i="1"/>
  <c r="I65" i="1"/>
  <c r="H65" i="1" s="1"/>
  <c r="CK67" i="1"/>
  <c r="CL65" i="1"/>
  <c r="CK65" i="1" s="1"/>
  <c r="DP73" i="1"/>
  <c r="BL88" i="1"/>
  <c r="FA88" i="1"/>
  <c r="EZ88" i="1" s="1"/>
  <c r="FL105" i="1"/>
  <c r="AF110" i="1"/>
  <c r="HX114" i="1"/>
  <c r="AV115" i="1"/>
  <c r="AW113" i="1"/>
  <c r="AV113" i="1" s="1"/>
  <c r="HT119" i="1"/>
  <c r="HS119" i="1" s="1"/>
  <c r="HX121" i="1"/>
  <c r="HW121" i="1" s="1"/>
  <c r="FA129" i="1"/>
  <c r="EZ129" i="1" s="1"/>
  <c r="FH130" i="1"/>
  <c r="FP129" i="1"/>
  <c r="FO129" i="1" s="1"/>
  <c r="CY137" i="1"/>
  <c r="F31" i="1"/>
  <c r="DG40" i="1"/>
  <c r="FO16" i="1"/>
  <c r="GV33" i="1"/>
  <c r="X31" i="1"/>
  <c r="X207" i="1" s="1"/>
  <c r="AB31" i="1"/>
  <c r="AB207" i="1" s="1"/>
  <c r="AF31" i="1"/>
  <c r="AF207" i="1" s="1"/>
  <c r="AJ31" i="1"/>
  <c r="AJ207" i="1" s="1"/>
  <c r="AN31" i="1"/>
  <c r="AN207" i="1" s="1"/>
  <c r="AW31" i="1"/>
  <c r="AW207" i="1" s="1"/>
  <c r="BA31" i="1"/>
  <c r="BA207" i="1" s="1"/>
  <c r="FL35" i="1"/>
  <c r="EL33" i="1"/>
  <c r="AI40" i="1"/>
  <c r="DX40" i="1"/>
  <c r="EG41" i="1"/>
  <c r="EH40" i="1"/>
  <c r="EG40" i="1" s="1"/>
  <c r="AL42" i="1"/>
  <c r="BL42" i="1"/>
  <c r="AW42" i="1"/>
  <c r="DS42" i="1"/>
  <c r="DL42" i="1"/>
  <c r="AW44" i="1"/>
  <c r="AV44" i="1" s="1"/>
  <c r="BF44" i="1"/>
  <c r="BE44" i="1" s="1"/>
  <c r="FA44" i="1"/>
  <c r="FK44" i="1"/>
  <c r="HX44" i="1"/>
  <c r="HW44" i="1" s="1"/>
  <c r="X46" i="1"/>
  <c r="BS46" i="1"/>
  <c r="BS44" i="1" s="1"/>
  <c r="FG48" i="1"/>
  <c r="AW51" i="1"/>
  <c r="AV51" i="1" s="1"/>
  <c r="BH51" i="1"/>
  <c r="CK53" i="1"/>
  <c r="CL51" i="1"/>
  <c r="CK51" i="1" s="1"/>
  <c r="AW59" i="1"/>
  <c r="AV59" i="1" s="1"/>
  <c r="DR59" i="1"/>
  <c r="E65" i="1"/>
  <c r="BL65" i="1"/>
  <c r="CB65" i="1"/>
  <c r="CF65" i="1" s="1"/>
  <c r="DI68" i="1"/>
  <c r="DG78" i="1"/>
  <c r="DF78" i="1" s="1"/>
  <c r="O88" i="1"/>
  <c r="N88" i="1" s="1"/>
  <c r="Z88" i="1"/>
  <c r="AK88" i="1" s="1"/>
  <c r="AL88" i="1" s="1"/>
  <c r="AW88" i="1"/>
  <c r="AV88" i="1" s="1"/>
  <c r="BH88" i="1"/>
  <c r="BH91" i="1"/>
  <c r="W104" i="1"/>
  <c r="AF104" i="1"/>
  <c r="BE104" i="1"/>
  <c r="BI104" i="1"/>
  <c r="E105" i="1"/>
  <c r="DB105" i="1"/>
  <c r="EL110" i="1"/>
  <c r="EK110" i="1" s="1"/>
  <c r="FH110" i="1"/>
  <c r="FG110" i="1" s="1"/>
  <c r="CK111" i="1"/>
  <c r="CL110" i="1"/>
  <c r="DS111" i="1"/>
  <c r="O113" i="1"/>
  <c r="N113" i="1" s="1"/>
  <c r="BZ116" i="1"/>
  <c r="BY116" i="1" s="1"/>
  <c r="GV119" i="1"/>
  <c r="GU119" i="1" s="1"/>
  <c r="EL120" i="1"/>
  <c r="HP120" i="1"/>
  <c r="HP106" i="1" s="1"/>
  <c r="EH125" i="1"/>
  <c r="EG125" i="1" s="1"/>
  <c r="FD125" i="1"/>
  <c r="IB125" i="1"/>
  <c r="IA125" i="1" s="1"/>
  <c r="DI127" i="1"/>
  <c r="ET132" i="1"/>
  <c r="ES132" i="1" s="1"/>
  <c r="HX132" i="1"/>
  <c r="HW132" i="1" s="1"/>
  <c r="ES133" i="1"/>
  <c r="J136" i="1"/>
  <c r="AL136" i="1"/>
  <c r="DS136" i="1"/>
  <c r="H137" i="1"/>
  <c r="P137" i="1"/>
  <c r="DC137" i="1"/>
  <c r="DC211" i="1" s="1"/>
  <c r="DW137" i="1"/>
  <c r="EO138" i="1"/>
  <c r="FO138" i="1"/>
  <c r="EK142" i="1"/>
  <c r="ER142" i="1"/>
  <c r="ED143" i="1"/>
  <c r="CH137" i="1"/>
  <c r="CH211" i="1" s="1"/>
  <c r="CL137" i="1"/>
  <c r="CL211" i="1" s="1"/>
  <c r="CP137" i="1"/>
  <c r="CP211" i="1" s="1"/>
  <c r="CP187" i="1" s="1"/>
  <c r="DR150" i="1"/>
  <c r="HG153" i="1"/>
  <c r="DX156" i="1"/>
  <c r="EJ156" i="1" s="1"/>
  <c r="ER156" i="1" s="1"/>
  <c r="FG158" i="1"/>
  <c r="DO162" i="1"/>
  <c r="FO163" i="1"/>
  <c r="FN163" i="1"/>
  <c r="FK163" i="1" s="1"/>
  <c r="FO165" i="1"/>
  <c r="DH168" i="1"/>
  <c r="ED169" i="1"/>
  <c r="HN170" i="1"/>
  <c r="HK170" i="1" s="1"/>
  <c r="HR170" i="1"/>
  <c r="HO170" i="1" s="1"/>
  <c r="HV170" i="1" s="1"/>
  <c r="HS170" i="1" s="1"/>
  <c r="HZ170" i="1" s="1"/>
  <c r="HW170" i="1" s="1"/>
  <c r="ID170" i="1" s="1"/>
  <c r="IA170" i="1" s="1"/>
  <c r="EH175" i="1"/>
  <c r="T176" i="1"/>
  <c r="AW176" i="1"/>
  <c r="AV176" i="1" s="1"/>
  <c r="CZ176" i="1"/>
  <c r="DP176" i="1"/>
  <c r="ES176" i="1"/>
  <c r="N177" i="1"/>
  <c r="O176" i="1"/>
  <c r="N176" i="1" s="1"/>
  <c r="BY177" i="1"/>
  <c r="DA203" i="1"/>
  <c r="CZ180" i="1"/>
  <c r="CZ203" i="1" s="1"/>
  <c r="DA175" i="1"/>
  <c r="ED181" i="1"/>
  <c r="FG181" i="1"/>
  <c r="DS182" i="1"/>
  <c r="DR182" i="1" s="1"/>
  <c r="K183" i="1"/>
  <c r="Z183" i="1"/>
  <c r="AK183" i="1" s="1"/>
  <c r="AL183" i="1" s="1"/>
  <c r="AI183" i="1"/>
  <c r="AY184" i="1"/>
  <c r="EI17" i="1"/>
  <c r="EI207" i="1"/>
  <c r="DW190" i="1"/>
  <c r="DW189" i="1" s="1"/>
  <c r="EW191" i="1"/>
  <c r="EW190" i="1" s="1"/>
  <c r="EW189" i="1" s="1"/>
  <c r="EX190" i="1"/>
  <c r="EX189" i="1" s="1"/>
  <c r="EX17" i="1" s="1"/>
  <c r="EW17" i="1" s="1"/>
  <c r="FA191" i="1"/>
  <c r="EZ193" i="1"/>
  <c r="EH197" i="1"/>
  <c r="HX200" i="1"/>
  <c r="HW200" i="1" s="1"/>
  <c r="DG206" i="1"/>
  <c r="EG206" i="1"/>
  <c r="I207" i="1"/>
  <c r="AF211" i="1"/>
  <c r="DM397" i="1"/>
  <c r="DM14" i="1" s="1"/>
  <c r="HS218" i="1"/>
  <c r="HT217" i="1"/>
  <c r="O219" i="1"/>
  <c r="N219" i="1" s="1"/>
  <c r="DG225" i="1"/>
  <c r="DI225" i="1"/>
  <c r="DJ224" i="1"/>
  <c r="DI224" i="1" s="1"/>
  <c r="DI227" i="1"/>
  <c r="DS227" i="1"/>
  <c r="DR227" i="1" s="1"/>
  <c r="DG227" i="1"/>
  <c r="DF227" i="1" s="1"/>
  <c r="FH227" i="1"/>
  <c r="FG227" i="1" s="1"/>
  <c r="FO227" i="1"/>
  <c r="DX228" i="1"/>
  <c r="DZ213" i="1"/>
  <c r="DZ285" i="1" s="1"/>
  <c r="HS228" i="1"/>
  <c r="HX228" i="1"/>
  <c r="HW228" i="1" s="1"/>
  <c r="P236" i="1"/>
  <c r="N238" i="1"/>
  <c r="GX286" i="1"/>
  <c r="GX285" i="1"/>
  <c r="HV286" i="1"/>
  <c r="HV285" i="1"/>
  <c r="EY213" i="1"/>
  <c r="DW213" i="1"/>
  <c r="DW285" i="1" s="1"/>
  <c r="CB218" i="1"/>
  <c r="CD217" i="1"/>
  <c r="HK218" i="1"/>
  <c r="HL217" i="1"/>
  <c r="BT221" i="1"/>
  <c r="BS221" i="1" s="1"/>
  <c r="BZ221" i="1"/>
  <c r="BY221" i="1" s="1"/>
  <c r="BH221" i="1"/>
  <c r="DK221" i="1"/>
  <c r="DN221" i="1" s="1"/>
  <c r="FC221" i="1"/>
  <c r="FP221" i="1"/>
  <c r="FA221" i="1"/>
  <c r="EZ221" i="1" s="1"/>
  <c r="H226" i="1"/>
  <c r="HO232" i="1"/>
  <c r="HP231" i="1"/>
  <c r="HG234" i="1"/>
  <c r="HP227" i="1"/>
  <c r="HH232" i="1"/>
  <c r="BZ242" i="1"/>
  <c r="BY242" i="1" s="1"/>
  <c r="BH242" i="1"/>
  <c r="HO242" i="1"/>
  <c r="HH242" i="1"/>
  <c r="HG242" i="1" s="1"/>
  <c r="HT242" i="1"/>
  <c r="H248" i="1"/>
  <c r="H244" i="1" s="1"/>
  <c r="J244" i="1"/>
  <c r="FR288" i="1"/>
  <c r="FO263" i="1"/>
  <c r="FO288" i="1" s="1"/>
  <c r="E264" i="1"/>
  <c r="G263" i="1"/>
  <c r="Q264" i="1"/>
  <c r="S263" i="1"/>
  <c r="Q263" i="1" s="1"/>
  <c r="Q359" i="1" s="1"/>
  <c r="EN265" i="1"/>
  <c r="ER265" i="1" s="1"/>
  <c r="ES265" i="1"/>
  <c r="AS266" i="1"/>
  <c r="AX266" i="1"/>
  <c r="AV266" i="1" s="1"/>
  <c r="CJ263" i="1"/>
  <c r="CH267" i="1"/>
  <c r="CM267" i="1" s="1"/>
  <c r="DX263" i="1"/>
  <c r="DX288" i="1" s="1"/>
  <c r="BL270" i="1"/>
  <c r="CZ162" i="1"/>
  <c r="FK171" i="1"/>
  <c r="FK170" i="1" s="1"/>
  <c r="FN170" i="1"/>
  <c r="DM197" i="1"/>
  <c r="DQ197" i="1"/>
  <c r="DQ190" i="1" s="1"/>
  <c r="DQ189" i="1" s="1"/>
  <c r="DQ175" i="1"/>
  <c r="FK176" i="1"/>
  <c r="Z180" i="1"/>
  <c r="AK180" i="1" s="1"/>
  <c r="AL180" i="1" s="1"/>
  <c r="DF181" i="1"/>
  <c r="DG180" i="1"/>
  <c r="DF180" i="1" s="1"/>
  <c r="DF183" i="1"/>
  <c r="FG184" i="1"/>
  <c r="FH183" i="1"/>
  <c r="FG183" i="1" s="1"/>
  <c r="FB190" i="1"/>
  <c r="FB189" i="1" s="1"/>
  <c r="FH198" i="1"/>
  <c r="HY357" i="1"/>
  <c r="BZ218" i="1"/>
  <c r="BT218" i="1"/>
  <c r="CR218" i="1"/>
  <c r="CZ217" i="1"/>
  <c r="FK217" i="1"/>
  <c r="CY219" i="1"/>
  <c r="CW219" i="1" s="1"/>
  <c r="CT219" i="1"/>
  <c r="CV217" i="1"/>
  <c r="CV216" i="1" s="1"/>
  <c r="CV213" i="1" s="1"/>
  <c r="FH220" i="1"/>
  <c r="FG220" i="1" s="1"/>
  <c r="DF221" i="1"/>
  <c r="EL221" i="1"/>
  <c r="EE221" i="1"/>
  <c r="ED221" i="1" s="1"/>
  <c r="DS223" i="1"/>
  <c r="DR223" i="1" s="1"/>
  <c r="DI223" i="1"/>
  <c r="DG223" i="1"/>
  <c r="DF223" i="1" s="1"/>
  <c r="FO223" i="1"/>
  <c r="FH223" i="1"/>
  <c r="FG223" i="1" s="1"/>
  <c r="I224" i="1"/>
  <c r="N225" i="1"/>
  <c r="AC224" i="1"/>
  <c r="Y236" i="1"/>
  <c r="BW236" i="1"/>
  <c r="J236" i="1"/>
  <c r="H238" i="1"/>
  <c r="AK238" i="1"/>
  <c r="BL238" i="1"/>
  <c r="AY238" i="1"/>
  <c r="BF238" i="1"/>
  <c r="DI242" i="1"/>
  <c r="DJ236" i="1"/>
  <c r="DI236" i="1" s="1"/>
  <c r="DS242" i="1"/>
  <c r="DG242" i="1"/>
  <c r="BF244" i="1"/>
  <c r="W248" i="1"/>
  <c r="W244" i="1" s="1"/>
  <c r="X244" i="1"/>
  <c r="AL248" i="1"/>
  <c r="AR248" i="1"/>
  <c r="AR244" i="1" s="1"/>
  <c r="AF244" i="1"/>
  <c r="AL244" i="1" s="1"/>
  <c r="EK251" i="1"/>
  <c r="EP251" i="1"/>
  <c r="EO251" i="1" s="1"/>
  <c r="AK253" i="1"/>
  <c r="AK254" i="1"/>
  <c r="BL254" i="1"/>
  <c r="AY254" i="1"/>
  <c r="AY253" i="1" s="1"/>
  <c r="AZ253" i="1"/>
  <c r="BL253" i="1" s="1"/>
  <c r="BF254" i="1"/>
  <c r="DR254" i="1"/>
  <c r="DS253" i="1"/>
  <c r="DR253" i="1" s="1"/>
  <c r="Z263" i="1"/>
  <c r="EJ288" i="1"/>
  <c r="EG263" i="1"/>
  <c r="EG288" i="1" s="1"/>
  <c r="AS265" i="1"/>
  <c r="AX265" i="1"/>
  <c r="AV265" i="1" s="1"/>
  <c r="BA266" i="1"/>
  <c r="BG266" i="1" s="1"/>
  <c r="BE266" i="1" s="1"/>
  <c r="EN266" i="1"/>
  <c r="ER266" i="1" s="1"/>
  <c r="ES266" i="1"/>
  <c r="GU267" i="1"/>
  <c r="GU263" i="1" s="1"/>
  <c r="GU288" i="1" s="1"/>
  <c r="HR267" i="1"/>
  <c r="EQ270" i="1"/>
  <c r="EQ11" i="1" s="1"/>
  <c r="EO11" i="1" s="1"/>
  <c r="EM269" i="1"/>
  <c r="W272" i="1"/>
  <c r="X269" i="1"/>
  <c r="AL272" i="1"/>
  <c r="AR272" i="1"/>
  <c r="AL276" i="1"/>
  <c r="AR276" i="1"/>
  <c r="BT276" i="1"/>
  <c r="BS276" i="1" s="1"/>
  <c r="AY276" i="1"/>
  <c r="BL276" i="1" s="1"/>
  <c r="EJ285" i="1"/>
  <c r="EJ286" i="1"/>
  <c r="ID285" i="1"/>
  <c r="AR218" i="1"/>
  <c r="DS221" i="1"/>
  <c r="AG228" i="1"/>
  <c r="AF228" i="1" s="1"/>
  <c r="AL228" i="1" s="1"/>
  <c r="AF229" i="1"/>
  <c r="T236" i="1"/>
  <c r="BB236" i="1"/>
  <c r="BP236" i="1"/>
  <c r="DX236" i="1"/>
  <c r="AZ239" i="1"/>
  <c r="AS239" i="1"/>
  <c r="AS236" i="1" s="1"/>
  <c r="AT236" i="1"/>
  <c r="BI239" i="1"/>
  <c r="BE239" i="1"/>
  <c r="DO242" i="1"/>
  <c r="DO236" i="1" s="1"/>
  <c r="DP236" i="1"/>
  <c r="FC242" i="1"/>
  <c r="FP242" i="1"/>
  <c r="FP236" i="1" s="1"/>
  <c r="FO236" i="1" s="1"/>
  <c r="BL248" i="1"/>
  <c r="AY248" i="1"/>
  <c r="AY244" i="1" s="1"/>
  <c r="EH287" i="1"/>
  <c r="EG287" i="1" s="1"/>
  <c r="EG248" i="1"/>
  <c r="EK248" i="1"/>
  <c r="W254" i="1"/>
  <c r="W253" i="1" s="1"/>
  <c r="X253" i="1"/>
  <c r="AL254" i="1"/>
  <c r="AF253" i="1"/>
  <c r="AL253" i="1" s="1"/>
  <c r="BT253" i="1"/>
  <c r="BS254" i="1"/>
  <c r="BS253" i="1" s="1"/>
  <c r="BU263" i="1"/>
  <c r="BU288" i="1" s="1"/>
  <c r="BU359" i="1" s="1"/>
  <c r="BU29" i="1" s="1"/>
  <c r="BS267" i="1"/>
  <c r="BS263" i="1" s="1"/>
  <c r="BS288" i="1" s="1"/>
  <c r="EG267" i="1"/>
  <c r="EV267" i="1"/>
  <c r="Z269" i="1"/>
  <c r="AK270" i="1"/>
  <c r="AK269" i="1" s="1"/>
  <c r="AZ269" i="1"/>
  <c r="BF270" i="1"/>
  <c r="HO270" i="1"/>
  <c r="HO269" i="1" s="1"/>
  <c r="HH270" i="1"/>
  <c r="H272" i="1"/>
  <c r="J269" i="1"/>
  <c r="FC274" i="1"/>
  <c r="FF269" i="1"/>
  <c r="FF286" i="1" s="1"/>
  <c r="FB274" i="1"/>
  <c r="BI276" i="1"/>
  <c r="BE276" i="1"/>
  <c r="DI277" i="1"/>
  <c r="DI22" i="1" s="1"/>
  <c r="DG277" i="1"/>
  <c r="FQ286" i="1"/>
  <c r="HZ286" i="1"/>
  <c r="HZ285" i="1"/>
  <c r="AT224" i="1"/>
  <c r="AS224" i="1" s="1"/>
  <c r="BC236" i="1"/>
  <c r="W238" i="1"/>
  <c r="X236" i="1"/>
  <c r="AL238" i="1"/>
  <c r="BS238" i="1"/>
  <c r="BL242" i="1"/>
  <c r="AY242" i="1"/>
  <c r="EH244" i="1"/>
  <c r="EG244" i="1" s="1"/>
  <c r="EO244" i="1"/>
  <c r="FK244" i="1"/>
  <c r="BB248" i="1"/>
  <c r="BB244" i="1" s="1"/>
  <c r="BC244" i="1"/>
  <c r="DR248" i="1"/>
  <c r="DR12" i="1" s="1"/>
  <c r="DS244" i="1"/>
  <c r="DR244" i="1" s="1"/>
  <c r="FC263" i="1"/>
  <c r="K264" i="1"/>
  <c r="M263" i="1"/>
  <c r="AV263" i="1"/>
  <c r="AV288" i="1" s="1"/>
  <c r="AV359" i="1" s="1"/>
  <c r="EN263" i="1"/>
  <c r="EN288" i="1" s="1"/>
  <c r="EK264" i="1"/>
  <c r="EK263" i="1" s="1"/>
  <c r="EK288" i="1" s="1"/>
  <c r="BA267" i="1"/>
  <c r="AS267" i="1"/>
  <c r="DK263" i="1"/>
  <c r="DK288" i="1" s="1"/>
  <c r="DI267" i="1"/>
  <c r="DI263" i="1" s="1"/>
  <c r="DI288" i="1" s="1"/>
  <c r="FO274" i="1"/>
  <c r="EV274" i="1"/>
  <c r="FR269" i="1"/>
  <c r="FR286" i="1" s="1"/>
  <c r="FJ274" i="1"/>
  <c r="FH248" i="1"/>
  <c r="FH246" i="1" s="1"/>
  <c r="FH245" i="1" s="1"/>
  <c r="FG245" i="1" s="1"/>
  <c r="GU287" i="1"/>
  <c r="HK287" i="1"/>
  <c r="HS287" i="1"/>
  <c r="FO270" i="1"/>
  <c r="HS270" i="1"/>
  <c r="HS269" i="1" s="1"/>
  <c r="HU269" i="1"/>
  <c r="CK272" i="1"/>
  <c r="EZ272" i="1"/>
  <c r="FA269" i="1"/>
  <c r="W276" i="1"/>
  <c r="EL281" i="1"/>
  <c r="FO287" i="1"/>
  <c r="E293" i="1"/>
  <c r="Q293" i="1"/>
  <c r="K294" i="1"/>
  <c r="L292" i="1"/>
  <c r="HG287" i="1"/>
  <c r="HO287" i="1"/>
  <c r="DU269" i="1"/>
  <c r="CU270" i="1"/>
  <c r="EE270" i="1"/>
  <c r="EE269" i="1" s="1"/>
  <c r="ED270" i="1"/>
  <c r="EW269" i="1"/>
  <c r="IA270" i="1"/>
  <c r="BV269" i="1"/>
  <c r="CF269" i="1" s="1"/>
  <c r="CF272" i="1"/>
  <c r="EU286" i="1"/>
  <c r="ES287" i="1"/>
  <c r="FL354" i="1"/>
  <c r="FK290" i="1"/>
  <c r="FK354" i="1" s="1"/>
  <c r="FP296" i="1"/>
  <c r="AF299" i="1"/>
  <c r="AG298" i="1"/>
  <c r="BE299" i="1"/>
  <c r="BF298" i="1"/>
  <c r="DG299" i="1"/>
  <c r="DS299" i="1"/>
  <c r="DJ298" i="1"/>
  <c r="DI298" i="1" s="1"/>
  <c r="DG300" i="1"/>
  <c r="DS300" i="1"/>
  <c r="DR300" i="1" s="1"/>
  <c r="CZ301" i="1"/>
  <c r="CO302" i="1"/>
  <c r="CK302" i="1"/>
  <c r="EZ302" i="1"/>
  <c r="FA301" i="1"/>
  <c r="EZ301" i="1" s="1"/>
  <c r="AV303" i="1"/>
  <c r="AW301" i="1"/>
  <c r="AF305" i="1"/>
  <c r="AR305" i="1" s="1"/>
  <c r="AG304" i="1"/>
  <c r="AF304" i="1" s="1"/>
  <c r="AR304" i="1" s="1"/>
  <c r="CO306" i="1"/>
  <c r="CK306" i="1"/>
  <c r="I316" i="1"/>
  <c r="EK317" i="1"/>
  <c r="CP319" i="1"/>
  <c r="CN319" i="1" s="1"/>
  <c r="CK319" i="1"/>
  <c r="DL319" i="1"/>
  <c r="DS319" i="1"/>
  <c r="DR319" i="1" s="1"/>
  <c r="EU291" i="1"/>
  <c r="X293" i="1"/>
  <c r="CA294" i="1"/>
  <c r="BB295" i="1"/>
  <c r="FA295" i="1"/>
  <c r="EZ295" i="1" s="1"/>
  <c r="CF296" i="1"/>
  <c r="FH299" i="1"/>
  <c r="FP298" i="1"/>
  <c r="FO298" i="1" s="1"/>
  <c r="CP300" i="1"/>
  <c r="HO302" i="1"/>
  <c r="HP301" i="1"/>
  <c r="HO301" i="1" s="1"/>
  <c r="W303" i="1"/>
  <c r="X301" i="1"/>
  <c r="DC303" i="1"/>
  <c r="DD301" i="1"/>
  <c r="DC301" i="1" s="1"/>
  <c r="CZ304" i="1"/>
  <c r="FH306" i="1"/>
  <c r="FO309" i="1"/>
  <c r="FP308" i="1"/>
  <c r="FO308" i="1" s="1"/>
  <c r="FH309" i="1"/>
  <c r="HH316" i="1"/>
  <c r="HH311" i="1" s="1"/>
  <c r="BW310" i="1"/>
  <c r="BV310" i="1" s="1"/>
  <c r="GU270" i="1"/>
  <c r="GU269" i="1" s="1"/>
  <c r="HK270" i="1"/>
  <c r="AT292" i="1"/>
  <c r="BF293" i="1"/>
  <c r="EH293" i="1"/>
  <c r="FD293" i="1"/>
  <c r="FV293" i="1" s="1"/>
  <c r="CM294" i="1"/>
  <c r="DD294" i="1"/>
  <c r="DM294" i="1"/>
  <c r="J295" i="1"/>
  <c r="CO296" i="1"/>
  <c r="EL296" i="1"/>
  <c r="N297" i="1"/>
  <c r="BY297" i="1"/>
  <c r="DS297" i="1"/>
  <c r="AW298" i="1"/>
  <c r="AK299" i="1"/>
  <c r="BY299" i="1"/>
  <c r="BZ298" i="1"/>
  <c r="HO299" i="1"/>
  <c r="HP298" i="1"/>
  <c r="HO298" i="1" s="1"/>
  <c r="N300" i="1"/>
  <c r="W300" i="1"/>
  <c r="FH300" i="1"/>
  <c r="T301" i="1"/>
  <c r="CL301" i="1"/>
  <c r="CP302" i="1"/>
  <c r="EE301" i="1"/>
  <c r="HH302" i="1"/>
  <c r="H303" i="1"/>
  <c r="CL304" i="1"/>
  <c r="AZ313" i="1"/>
  <c r="AZ311" i="1" s="1"/>
  <c r="AS313" i="1"/>
  <c r="AS311" i="1" s="1"/>
  <c r="EZ316" i="1"/>
  <c r="HK316" i="1"/>
  <c r="HK311" i="1" s="1"/>
  <c r="FO322" i="1"/>
  <c r="FH322" i="1"/>
  <c r="FG322" i="1" s="1"/>
  <c r="EZ346" i="1"/>
  <c r="FA347" i="1"/>
  <c r="HM347" i="1"/>
  <c r="HI346" i="1"/>
  <c r="CV364" i="1"/>
  <c r="DI364" i="1"/>
  <c r="DK364" i="1"/>
  <c r="DK361" i="1" s="1"/>
  <c r="HZ367" i="1"/>
  <c r="HK367" i="1"/>
  <c r="HK364" i="1" s="1"/>
  <c r="GU370" i="1"/>
  <c r="HJ370" i="1"/>
  <c r="HG370" i="1" s="1"/>
  <c r="GX364" i="1"/>
  <c r="HZ371" i="1"/>
  <c r="HW373" i="1"/>
  <c r="ED377" i="1"/>
  <c r="FO383" i="1"/>
  <c r="FH383" i="1"/>
  <c r="FG383" i="1" s="1"/>
  <c r="J293" i="1"/>
  <c r="BG293" i="1"/>
  <c r="DJ293" i="1"/>
  <c r="HP293" i="1"/>
  <c r="DJ294" i="1"/>
  <c r="DI294" i="1" s="1"/>
  <c r="FP294" i="1"/>
  <c r="FO294" i="1" s="1"/>
  <c r="BT295" i="1"/>
  <c r="CL295" i="1"/>
  <c r="DM295" i="1"/>
  <c r="DL295" i="1" s="1"/>
  <c r="FD295" i="1"/>
  <c r="FV295" i="1" s="1"/>
  <c r="DS296" i="1"/>
  <c r="EE296" i="1"/>
  <c r="FC296" i="1"/>
  <c r="FT296" i="1" s="1"/>
  <c r="DI299" i="1"/>
  <c r="EG299" i="1"/>
  <c r="EL299" i="1"/>
  <c r="EE299" i="1"/>
  <c r="H300" i="1"/>
  <c r="CO300" i="1"/>
  <c r="CK300" i="1"/>
  <c r="DI300" i="1"/>
  <c r="HK300" i="1"/>
  <c r="K301" i="1"/>
  <c r="BH301" i="1"/>
  <c r="BV301" i="1"/>
  <c r="CF301" i="1" s="1"/>
  <c r="BY303" i="1"/>
  <c r="BZ301" i="1"/>
  <c r="DI303" i="1"/>
  <c r="DG303" i="1"/>
  <c r="HK303" i="1"/>
  <c r="HL301" i="1"/>
  <c r="HK301" i="1" s="1"/>
  <c r="HW303" i="1"/>
  <c r="FP304" i="1"/>
  <c r="FO304" i="1" s="1"/>
  <c r="U310" i="1"/>
  <c r="BS313" i="1"/>
  <c r="FO313" i="1"/>
  <c r="FH313" i="1"/>
  <c r="E316" i="1"/>
  <c r="N316" i="1"/>
  <c r="W316" i="1"/>
  <c r="IA316" i="1"/>
  <c r="DJ323" i="1"/>
  <c r="DJ311" i="1" s="1"/>
  <c r="DI311" i="1" s="1"/>
  <c r="ES348" i="1"/>
  <c r="HK352" i="1"/>
  <c r="HK23" i="1" s="1"/>
  <c r="HX352" i="1"/>
  <c r="DG353" i="1"/>
  <c r="DJ352" i="1"/>
  <c r="DI352" i="1" s="1"/>
  <c r="Y395" i="1"/>
  <c r="W395" i="1"/>
  <c r="FG367" i="1"/>
  <c r="FJ364" i="1"/>
  <c r="HO367" i="1"/>
  <c r="HJ367" i="1"/>
  <c r="HR364" i="1"/>
  <c r="GU377" i="1"/>
  <c r="GV362" i="1"/>
  <c r="CU301" i="1"/>
  <c r="CT301" i="1" s="1"/>
  <c r="DG304" i="1"/>
  <c r="DI313" i="1"/>
  <c r="CK317" i="1"/>
  <c r="AK319" i="1"/>
  <c r="AL319" i="1" s="1"/>
  <c r="BE319" i="1"/>
  <c r="ES346" i="1"/>
  <c r="EK348" i="1"/>
  <c r="FA352" i="1"/>
  <c r="HX353" i="1"/>
  <c r="HW353" i="1" s="1"/>
  <c r="EH361" i="1"/>
  <c r="HY361" i="1"/>
  <c r="FC363" i="1"/>
  <c r="FT363" i="1" s="1"/>
  <c r="HG363" i="1"/>
  <c r="HW363" i="1"/>
  <c r="CF364" i="1"/>
  <c r="BV364" i="1"/>
  <c r="BV361" i="1" s="1"/>
  <c r="BX361" i="1"/>
  <c r="CF361" i="1" s="1"/>
  <c r="DU364" i="1"/>
  <c r="DU361" i="1" s="1"/>
  <c r="DW361" i="1"/>
  <c r="DW11" i="1" s="1"/>
  <c r="DU11" i="1" s="1"/>
  <c r="FO328" i="1"/>
  <c r="FH328" i="1"/>
  <c r="FG328" i="1" s="1"/>
  <c r="DF346" i="1"/>
  <c r="DG347" i="1"/>
  <c r="DG23" i="1" s="1"/>
  <c r="EO346" i="1"/>
  <c r="GW347" i="1"/>
  <c r="FQ346" i="1"/>
  <c r="FK348" i="1"/>
  <c r="GU352" i="1"/>
  <c r="GU23" i="1" s="1"/>
  <c r="HH352" i="1"/>
  <c r="ED353" i="1"/>
  <c r="EE352" i="1"/>
  <c r="ED352" i="1" s="1"/>
  <c r="CP364" i="1"/>
  <c r="CK361" i="1"/>
  <c r="DO364" i="1"/>
  <c r="DQ364" i="1"/>
  <c r="DQ361" i="1" s="1"/>
  <c r="DI328" i="1"/>
  <c r="FP352" i="1"/>
  <c r="EK363" i="1"/>
  <c r="FO363" i="1"/>
  <c r="BE395" i="1"/>
  <c r="CK395" i="1"/>
  <c r="ES366" i="1"/>
  <c r="EN366" i="1"/>
  <c r="EK366" i="1" s="1"/>
  <c r="HL377" i="1"/>
  <c r="HK380" i="1"/>
  <c r="AZ388" i="1"/>
  <c r="AS388" i="1"/>
  <c r="EG363" i="1"/>
  <c r="HK363" i="1"/>
  <c r="IA363" i="1"/>
  <c r="AX395" i="1"/>
  <c r="AX364" i="1"/>
  <c r="CA395" i="1"/>
  <c r="CA364" i="1"/>
  <c r="CW365" i="1"/>
  <c r="FG376" i="1"/>
  <c r="FH371" i="1"/>
  <c r="J388" i="1"/>
  <c r="P388" i="1"/>
  <c r="M387" i="1"/>
  <c r="K388" i="1"/>
  <c r="HW372" i="1"/>
  <c r="HX371" i="1"/>
  <c r="FO375" i="1"/>
  <c r="FN375" i="1"/>
  <c r="FR374" i="1"/>
  <c r="FO374" i="1" s="1"/>
  <c r="FJ375" i="1"/>
  <c r="HL387" i="1"/>
  <c r="HG387" i="1"/>
  <c r="HG15" i="1" s="1"/>
  <c r="X388" i="1"/>
  <c r="Z388" i="1"/>
  <c r="AK388" i="1" s="1"/>
  <c r="AA387" i="1"/>
  <c r="FH382" i="1"/>
  <c r="FO382" i="1"/>
  <c r="FP377" i="1"/>
  <c r="BM387" i="1"/>
  <c r="BM15" i="1" s="1"/>
  <c r="CQ387" i="1"/>
  <c r="CQ15" i="1" s="1"/>
  <c r="EG387" i="1"/>
  <c r="EG15" i="1" s="1"/>
  <c r="EL387" i="1"/>
  <c r="O388" i="1"/>
  <c r="I388" i="1"/>
  <c r="L387" i="1"/>
  <c r="Y387" i="1"/>
  <c r="BY388" i="1"/>
  <c r="CI388" i="1" s="1"/>
  <c r="X390" i="1"/>
  <c r="W390" i="1" s="1"/>
  <c r="HG378" i="1"/>
  <c r="HH377" i="1"/>
  <c r="DI387" i="1"/>
  <c r="DS387" i="1"/>
  <c r="J390" i="1"/>
  <c r="H390" i="1" s="1"/>
  <c r="K390" i="1"/>
  <c r="P390" i="1"/>
  <c r="N390" i="1" s="1"/>
  <c r="CB387" i="1"/>
  <c r="CB15" i="1" s="1"/>
  <c r="BE390" i="1"/>
  <c r="FF285" i="1" l="1"/>
  <c r="GB41" i="1"/>
  <c r="FT41" i="1"/>
  <c r="FT274" i="1"/>
  <c r="GJ274" i="1"/>
  <c r="FT253" i="1"/>
  <c r="GJ253" i="1"/>
  <c r="FV279" i="1"/>
  <c r="GL279" i="1"/>
  <c r="GH371" i="1"/>
  <c r="FZ371" i="1"/>
  <c r="FB277" i="1"/>
  <c r="FA277" i="1" s="1"/>
  <c r="EZ277" i="1" s="1"/>
  <c r="EY277" i="1" s="1"/>
  <c r="FT277" i="1"/>
  <c r="GJ277" i="1"/>
  <c r="GJ242" i="1"/>
  <c r="FT242" i="1"/>
  <c r="GJ226" i="1"/>
  <c r="FT226" i="1"/>
  <c r="GL246" i="1"/>
  <c r="FV246" i="1"/>
  <c r="FD244" i="1"/>
  <c r="GD23" i="1"/>
  <c r="FV23" i="1"/>
  <c r="FZ288" i="1"/>
  <c r="GP288" i="1"/>
  <c r="FT248" i="1"/>
  <c r="GJ248" i="1"/>
  <c r="GF354" i="1"/>
  <c r="FX354" i="1"/>
  <c r="GF286" i="1"/>
  <c r="GN286" i="1"/>
  <c r="FX286" i="1"/>
  <c r="GB221" i="1"/>
  <c r="GJ221" i="1"/>
  <c r="FT221" i="1"/>
  <c r="FC23" i="1"/>
  <c r="FT352" i="1"/>
  <c r="GJ219" i="1"/>
  <c r="FT219" i="1"/>
  <c r="GJ263" i="1"/>
  <c r="FT263" i="1"/>
  <c r="FZ269" i="1"/>
  <c r="GP269" i="1"/>
  <c r="GB15" i="1"/>
  <c r="FT15" i="1"/>
  <c r="GL217" i="1"/>
  <c r="FV217" i="1"/>
  <c r="GB308" i="1"/>
  <c r="FT308" i="1"/>
  <c r="GJ282" i="1"/>
  <c r="FT282" i="1"/>
  <c r="GF285" i="1"/>
  <c r="FX285" i="1"/>
  <c r="GN285" i="1"/>
  <c r="W311" i="1"/>
  <c r="FT40" i="1"/>
  <c r="GB40" i="1"/>
  <c r="GL23" i="1"/>
  <c r="IB357" i="1"/>
  <c r="FD287" i="1"/>
  <c r="GD246" i="1"/>
  <c r="FC246" i="1"/>
  <c r="HW232" i="1"/>
  <c r="HN143" i="1"/>
  <c r="HN214" i="1" s="1"/>
  <c r="HK214" i="1" s="1"/>
  <c r="HR142" i="1"/>
  <c r="HO142" i="1" s="1"/>
  <c r="HO214" i="1"/>
  <c r="HO143" i="1"/>
  <c r="HV143" i="1" s="1"/>
  <c r="HV214" i="1" s="1"/>
  <c r="HS214" i="1" s="1"/>
  <c r="HG214" i="1"/>
  <c r="ES191" i="1"/>
  <c r="ES190" i="1" s="1"/>
  <c r="ES189" i="1" s="1"/>
  <c r="ES143" i="1"/>
  <c r="EV214" i="1"/>
  <c r="ES214" i="1" s="1"/>
  <c r="HH238" i="1"/>
  <c r="HH236" i="1" s="1"/>
  <c r="HG236" i="1" s="1"/>
  <c r="HP237" i="1"/>
  <c r="HO237" i="1" s="1"/>
  <c r="HS239" i="1"/>
  <c r="HT237" i="1"/>
  <c r="HS237" i="1" s="1"/>
  <c r="IA238" i="1"/>
  <c r="FP237" i="1"/>
  <c r="FO237" i="1" s="1"/>
  <c r="EL191" i="1"/>
  <c r="EK191" i="1" s="1"/>
  <c r="EL214" i="1"/>
  <c r="EK214" i="1" s="1"/>
  <c r="EG192" i="1"/>
  <c r="EH214" i="1"/>
  <c r="EG214" i="1" s="1"/>
  <c r="FO192" i="1"/>
  <c r="FP214" i="1"/>
  <c r="FO214" i="1" s="1"/>
  <c r="FG67" i="1"/>
  <c r="FH66" i="1"/>
  <c r="FG66" i="1" s="1"/>
  <c r="FH65" i="1"/>
  <c r="FG65" i="1" s="1"/>
  <c r="HP246" i="1"/>
  <c r="HO66" i="1"/>
  <c r="FH63" i="1"/>
  <c r="FP243" i="1"/>
  <c r="FO243" i="1" s="1"/>
  <c r="HP61" i="1"/>
  <c r="HP36" i="1" s="1"/>
  <c r="HP32" i="1" s="1"/>
  <c r="HP243" i="1"/>
  <c r="HO243" i="1" s="1"/>
  <c r="FT113" i="1"/>
  <c r="GB113" i="1"/>
  <c r="V355" i="1"/>
  <c r="V394" i="1" s="1"/>
  <c r="V396" i="1" s="1"/>
  <c r="GH362" i="1"/>
  <c r="GB226" i="1"/>
  <c r="GH142" i="1"/>
  <c r="FC142" i="1"/>
  <c r="FT142" i="1" s="1"/>
  <c r="GP142" i="1"/>
  <c r="FZ142" i="1"/>
  <c r="EI29" i="1"/>
  <c r="FH348" i="1"/>
  <c r="FG348" i="1" s="1"/>
  <c r="FC288" i="1"/>
  <c r="BC213" i="1"/>
  <c r="BC285" i="1" s="1"/>
  <c r="BC355" i="1" s="1"/>
  <c r="BC10" i="1" s="1"/>
  <c r="EV142" i="1"/>
  <c r="ES142" i="1" s="1"/>
  <c r="DS397" i="1"/>
  <c r="DS14" i="1" s="1"/>
  <c r="EP29" i="1"/>
  <c r="DG15" i="1"/>
  <c r="DF15" i="1" s="1"/>
  <c r="AL313" i="1"/>
  <c r="AL311" i="1" s="1"/>
  <c r="AL310" i="1" s="1"/>
  <c r="GJ374" i="1"/>
  <c r="GB374" i="1"/>
  <c r="DI269" i="1"/>
  <c r="HO238" i="1"/>
  <c r="DL311" i="1"/>
  <c r="FH279" i="1"/>
  <c r="FG279" i="1" s="1"/>
  <c r="HH225" i="1"/>
  <c r="HG225" i="1" s="1"/>
  <c r="BT219" i="1"/>
  <c r="BS219" i="1" s="1"/>
  <c r="DL51" i="1"/>
  <c r="DL191" i="1" s="1"/>
  <c r="FB29" i="1"/>
  <c r="AK207" i="1"/>
  <c r="BQ355" i="1"/>
  <c r="BQ10" i="1" s="1"/>
  <c r="HX29" i="1"/>
  <c r="HX14" i="1" s="1"/>
  <c r="FR285" i="1"/>
  <c r="FI29" i="1"/>
  <c r="AA29" i="1"/>
  <c r="BO355" i="1"/>
  <c r="BO392" i="1" s="1"/>
  <c r="BO8" i="1" s="1"/>
  <c r="IB231" i="1"/>
  <c r="IA231" i="1" s="1"/>
  <c r="T31" i="1"/>
  <c r="T207" i="1" s="1"/>
  <c r="Y359" i="1"/>
  <c r="AE355" i="1"/>
  <c r="AE10" i="1" s="1"/>
  <c r="HO63" i="1"/>
  <c r="FH29" i="1"/>
  <c r="AG29" i="1"/>
  <c r="R310" i="1"/>
  <c r="R290" i="1" s="1"/>
  <c r="AY211" i="1"/>
  <c r="EF361" i="1"/>
  <c r="EF11" i="1" s="1"/>
  <c r="ED11" i="1" s="1"/>
  <c r="AV311" i="1"/>
  <c r="CK311" i="1"/>
  <c r="EK311" i="1"/>
  <c r="BE311" i="1"/>
  <c r="BE310" i="1" s="1"/>
  <c r="H313" i="1"/>
  <c r="I311" i="1"/>
  <c r="H311" i="1" s="1"/>
  <c r="ID286" i="1"/>
  <c r="HW250" i="1"/>
  <c r="BY295" i="1"/>
  <c r="N313" i="1"/>
  <c r="O311" i="1"/>
  <c r="N311" i="1" s="1"/>
  <c r="DM311" i="1"/>
  <c r="DM310" i="1" s="1"/>
  <c r="DL310" i="1" s="1"/>
  <c r="AL395" i="1"/>
  <c r="DR127" i="1"/>
  <c r="BL31" i="1"/>
  <c r="BL207" i="1" s="1"/>
  <c r="AD29" i="1"/>
  <c r="BJ355" i="1"/>
  <c r="BJ25" i="1" s="1"/>
  <c r="J207" i="1"/>
  <c r="CK248" i="1"/>
  <c r="CP311" i="1"/>
  <c r="CP310" i="1" s="1"/>
  <c r="AF311" i="1"/>
  <c r="AF310" i="1" s="1"/>
  <c r="AK311" i="1"/>
  <c r="AK310" i="1" s="1"/>
  <c r="HX227" i="1"/>
  <c r="HW227" i="1" s="1"/>
  <c r="DF313" i="1"/>
  <c r="BS311" i="1"/>
  <c r="BS310" i="1" s="1"/>
  <c r="DG397" i="1"/>
  <c r="DG14" i="1" s="1"/>
  <c r="N53" i="1"/>
  <c r="Y310" i="1"/>
  <c r="CO311" i="1"/>
  <c r="CO310" i="1" s="1"/>
  <c r="HW316" i="1"/>
  <c r="HW311" i="1" s="1"/>
  <c r="HX311" i="1"/>
  <c r="DR313" i="1"/>
  <c r="BY311" i="1"/>
  <c r="CF31" i="1"/>
  <c r="CF207" i="1" s="1"/>
  <c r="IB106" i="1"/>
  <c r="IA106" i="1" s="1"/>
  <c r="BS114" i="1"/>
  <c r="BS113" i="1" s="1"/>
  <c r="DD29" i="1"/>
  <c r="BX285" i="1"/>
  <c r="BX355" i="1" s="1"/>
  <c r="BX25" i="1" s="1"/>
  <c r="ET213" i="1"/>
  <c r="ES157" i="1"/>
  <c r="DF297" i="1"/>
  <c r="DJ29" i="1"/>
  <c r="ET269" i="1"/>
  <c r="EO353" i="1"/>
  <c r="J263" i="1"/>
  <c r="H263" i="1" s="1"/>
  <c r="H359" i="1" s="1"/>
  <c r="AQ29" i="1"/>
  <c r="IB190" i="1"/>
  <c r="IB189" i="1" s="1"/>
  <c r="DF139" i="1"/>
  <c r="AX285" i="1"/>
  <c r="AX355" i="1" s="1"/>
  <c r="AX25" i="1" s="1"/>
  <c r="IB119" i="1"/>
  <c r="IA119" i="1" s="1"/>
  <c r="W31" i="1"/>
  <c r="W207" i="1" s="1"/>
  <c r="CW175" i="1"/>
  <c r="ET120" i="1"/>
  <c r="ET119" i="1" s="1"/>
  <c r="ES119" i="1" s="1"/>
  <c r="ES213" i="1"/>
  <c r="GJ319" i="1"/>
  <c r="FH319" i="1"/>
  <c r="FG319" i="1" s="1"/>
  <c r="H269" i="1"/>
  <c r="AM355" i="1"/>
  <c r="AM25" i="1" s="1"/>
  <c r="GW286" i="1"/>
  <c r="DE361" i="1"/>
  <c r="DC361" i="1" s="1"/>
  <c r="BF216" i="1"/>
  <c r="GB63" i="1"/>
  <c r="DS269" i="1"/>
  <c r="DR269" i="1" s="1"/>
  <c r="DS88" i="1"/>
  <c r="DR88" i="1" s="1"/>
  <c r="GV29" i="1"/>
  <c r="BM213" i="1"/>
  <c r="BM285" i="1" s="1"/>
  <c r="BM355" i="1" s="1"/>
  <c r="BM392" i="1" s="1"/>
  <c r="BM8" i="1" s="1"/>
  <c r="DL293" i="1"/>
  <c r="DL292" i="1" s="1"/>
  <c r="CV263" i="1"/>
  <c r="CV288" i="1" s="1"/>
  <c r="DP397" i="1"/>
  <c r="DP14" i="1" s="1"/>
  <c r="CD137" i="1"/>
  <c r="CD207" i="1" s="1"/>
  <c r="HT106" i="1"/>
  <c r="HT105" i="1" s="1"/>
  <c r="HS105" i="1" s="1"/>
  <c r="FL29" i="1"/>
  <c r="HH349" i="1"/>
  <c r="HG349" i="1" s="1"/>
  <c r="FH192" i="1"/>
  <c r="DP291" i="1"/>
  <c r="DP290" i="1" s="1"/>
  <c r="DO290" i="1" s="1"/>
  <c r="DO354" i="1" s="1"/>
  <c r="AP29" i="1"/>
  <c r="CB263" i="1"/>
  <c r="CB288" i="1" s="1"/>
  <c r="FO33" i="1"/>
  <c r="DV213" i="1"/>
  <c r="DV285" i="1" s="1"/>
  <c r="HP190" i="1"/>
  <c r="HP189" i="1" s="1"/>
  <c r="HP18" i="1" s="1"/>
  <c r="L310" i="1"/>
  <c r="K310" i="1" s="1"/>
  <c r="HS33" i="1"/>
  <c r="W269" i="1"/>
  <c r="EO169" i="1"/>
  <c r="EO168" i="1" s="1"/>
  <c r="FO63" i="1"/>
  <c r="DY397" i="1"/>
  <c r="DY14" i="1" s="1"/>
  <c r="EE217" i="1"/>
  <c r="ED217" i="1" s="1"/>
  <c r="AW224" i="1"/>
  <c r="EH36" i="1"/>
  <c r="EG36" i="1" s="1"/>
  <c r="BB216" i="1"/>
  <c r="BB213" i="1" s="1"/>
  <c r="BB285" i="1" s="1"/>
  <c r="BB355" i="1" s="1"/>
  <c r="DF349" i="1"/>
  <c r="HP236" i="1"/>
  <c r="HO236" i="1" s="1"/>
  <c r="EK192" i="1"/>
  <c r="HK269" i="1"/>
  <c r="DH263" i="1"/>
  <c r="DH288" i="1" s="1"/>
  <c r="GV59" i="1"/>
  <c r="GU59" i="1" s="1"/>
  <c r="AQ355" i="1"/>
  <c r="AQ10" i="1" s="1"/>
  <c r="FV120" i="1"/>
  <c r="EG61" i="1"/>
  <c r="BS207" i="1"/>
  <c r="EK175" i="1"/>
  <c r="AY207" i="1"/>
  <c r="GD203" i="1"/>
  <c r="BJ364" i="1"/>
  <c r="BH364" i="1" s="1"/>
  <c r="BH361" i="1" s="1"/>
  <c r="BH397" i="1" s="1"/>
  <c r="BH14" i="1" s="1"/>
  <c r="BG207" i="1"/>
  <c r="CQ105" i="1"/>
  <c r="HZ172" i="1"/>
  <c r="HZ291" i="1"/>
  <c r="HZ290" i="1" s="1"/>
  <c r="HZ354" i="1" s="1"/>
  <c r="GX291" i="1"/>
  <c r="GX290" i="1" s="1"/>
  <c r="GX354" i="1" s="1"/>
  <c r="AV295" i="1"/>
  <c r="FH269" i="1"/>
  <c r="BL91" i="1"/>
  <c r="J395" i="1"/>
  <c r="EV172" i="1"/>
  <c r="BZ397" i="1"/>
  <c r="BZ14" i="1" s="1"/>
  <c r="BW29" i="1"/>
  <c r="EG362" i="1"/>
  <c r="V397" i="1"/>
  <c r="FH352" i="1"/>
  <c r="FH23" i="1" s="1"/>
  <c r="CE236" i="1"/>
  <c r="BG361" i="1"/>
  <c r="BY263" i="1"/>
  <c r="BY288" i="1" s="1"/>
  <c r="HL29" i="1"/>
  <c r="HV291" i="1"/>
  <c r="HV290" i="1" s="1"/>
  <c r="HV354" i="1" s="1"/>
  <c r="DM88" i="1"/>
  <c r="DL88" i="1" s="1"/>
  <c r="FD119" i="1"/>
  <c r="FC119" i="1" s="1"/>
  <c r="GJ119" i="1" s="1"/>
  <c r="CU217" i="1"/>
  <c r="DH269" i="1"/>
  <c r="EH191" i="1"/>
  <c r="EG191" i="1" s="1"/>
  <c r="FH224" i="1"/>
  <c r="FG224" i="1" s="1"/>
  <c r="ES173" i="1"/>
  <c r="ES172" i="1" s="1"/>
  <c r="CK269" i="1"/>
  <c r="BW213" i="1"/>
  <c r="BW285" i="1" s="1"/>
  <c r="BW355" i="1" s="1"/>
  <c r="AI355" i="1"/>
  <c r="AI392" i="1" s="1"/>
  <c r="AI8" i="1" s="1"/>
  <c r="EL282" i="1"/>
  <c r="EK282" i="1" s="1"/>
  <c r="HH29" i="1"/>
  <c r="GJ122" i="1"/>
  <c r="FC120" i="1"/>
  <c r="GJ120" i="1" s="1"/>
  <c r="N395" i="1"/>
  <c r="FA348" i="1"/>
  <c r="EZ348" i="1" s="1"/>
  <c r="IA269" i="1"/>
  <c r="K31" i="1"/>
  <c r="K207" i="1" s="1"/>
  <c r="DJ217" i="1"/>
  <c r="DJ216" i="1" s="1"/>
  <c r="ET382" i="1"/>
  <c r="EL382" i="1" s="1"/>
  <c r="EK382" i="1" s="1"/>
  <c r="HT397" i="1"/>
  <c r="HT29" i="1"/>
  <c r="EV362" i="1"/>
  <c r="EV361" i="1" s="1"/>
  <c r="HJ285" i="1"/>
  <c r="EL270" i="1"/>
  <c r="EK270" i="1" s="1"/>
  <c r="BS359" i="1"/>
  <c r="BS29" i="1" s="1"/>
  <c r="BI217" i="1"/>
  <c r="BI216" i="1" s="1"/>
  <c r="FP191" i="1"/>
  <c r="FO191" i="1" s="1"/>
  <c r="FO190" i="1" s="1"/>
  <c r="FO189" i="1" s="1"/>
  <c r="H217" i="1"/>
  <c r="EL44" i="1"/>
  <c r="EK44" i="1" s="1"/>
  <c r="DS219" i="1"/>
  <c r="DS217" i="1" s="1"/>
  <c r="DS216" i="1" s="1"/>
  <c r="CX397" i="1"/>
  <c r="CX14" i="1" s="1"/>
  <c r="FD190" i="1"/>
  <c r="GD190" i="1" s="1"/>
  <c r="EE22" i="1"/>
  <c r="FD106" i="1"/>
  <c r="FC106" i="1" s="1"/>
  <c r="GB106" i="1" s="1"/>
  <c r="GD120" i="1"/>
  <c r="FG270" i="1"/>
  <c r="BN355" i="1"/>
  <c r="BN10" i="1" s="1"/>
  <c r="DL90" i="1"/>
  <c r="HH106" i="1"/>
  <c r="HG106" i="1" s="1"/>
  <c r="DM190" i="1"/>
  <c r="DM189" i="1" s="1"/>
  <c r="FP29" i="1"/>
  <c r="CF264" i="1"/>
  <c r="ES383" i="1"/>
  <c r="EZ361" i="1"/>
  <c r="FG351" i="1"/>
  <c r="ES364" i="1"/>
  <c r="BH219" i="1"/>
  <c r="BH217" i="1" s="1"/>
  <c r="BH216" i="1" s="1"/>
  <c r="P216" i="1"/>
  <c r="P213" i="1" s="1"/>
  <c r="L355" i="1"/>
  <c r="L394" i="1" s="1"/>
  <c r="L396" i="1" s="1"/>
  <c r="EK352" i="1"/>
  <c r="EK23" i="1" s="1"/>
  <c r="P263" i="1"/>
  <c r="N263" i="1" s="1"/>
  <c r="EE191" i="1"/>
  <c r="ED191" i="1" s="1"/>
  <c r="GL203" i="1"/>
  <c r="N31" i="1"/>
  <c r="GV36" i="1"/>
  <c r="GV35" i="1" s="1"/>
  <c r="GU35" i="1" s="1"/>
  <c r="FA361" i="1"/>
  <c r="FA11" i="1" s="1"/>
  <c r="IB29" i="1"/>
  <c r="BB292" i="1"/>
  <c r="BB290" i="1" s="1"/>
  <c r="CZ310" i="1"/>
  <c r="CF263" i="1"/>
  <c r="CF288" i="1" s="1"/>
  <c r="CF359" i="1" s="1"/>
  <c r="CF29" i="1" s="1"/>
  <c r="BV288" i="1"/>
  <c r="BV359" i="1" s="1"/>
  <c r="BV397" i="1" s="1"/>
  <c r="BV14" i="1" s="1"/>
  <c r="GU349" i="1"/>
  <c r="EZ359" i="1"/>
  <c r="EZ397" i="1" s="1"/>
  <c r="EZ14" i="1" s="1"/>
  <c r="EX29" i="1"/>
  <c r="HP29" i="1"/>
  <c r="DJ105" i="1"/>
  <c r="FP61" i="1"/>
  <c r="FP36" i="1" s="1"/>
  <c r="N264" i="1"/>
  <c r="CM213" i="1"/>
  <c r="FN168" i="1"/>
  <c r="BR355" i="1"/>
  <c r="BR392" i="1" s="1"/>
  <c r="BR8" i="1" s="1"/>
  <c r="AW29" i="1"/>
  <c r="DL180" i="1"/>
  <c r="DL203" i="1" s="1"/>
  <c r="GJ63" i="1"/>
  <c r="V290" i="1"/>
  <c r="FV203" i="1"/>
  <c r="GB122" i="1"/>
  <c r="DH361" i="1"/>
  <c r="DF361" i="1" s="1"/>
  <c r="DS301" i="1"/>
  <c r="DR301" i="1" s="1"/>
  <c r="CH310" i="1"/>
  <c r="DX310" i="1"/>
  <c r="J364" i="1"/>
  <c r="BS111" i="1"/>
  <c r="BS110" i="1" s="1"/>
  <c r="BT110" i="1"/>
  <c r="HO190" i="1"/>
  <c r="HO189" i="1" s="1"/>
  <c r="FV61" i="1"/>
  <c r="GD61" i="1"/>
  <c r="GL61" i="1"/>
  <c r="FC61" i="1"/>
  <c r="FD59" i="1"/>
  <c r="IB362" i="1"/>
  <c r="IB361" i="1" s="1"/>
  <c r="T310" i="1"/>
  <c r="FH301" i="1"/>
  <c r="FG301" i="1" s="1"/>
  <c r="FO269" i="1"/>
  <c r="DP213" i="1"/>
  <c r="DP285" i="1" s="1"/>
  <c r="DM175" i="1"/>
  <c r="FN162" i="1"/>
  <c r="FK162" i="1" s="1"/>
  <c r="BE207" i="1"/>
  <c r="DA397" i="1"/>
  <c r="DA14" i="1" s="1"/>
  <c r="CC291" i="1"/>
  <c r="CB291" i="1" s="1"/>
  <c r="GW29" i="1"/>
  <c r="BD355" i="1"/>
  <c r="BD10" i="1" s="1"/>
  <c r="DG269" i="1"/>
  <c r="BV217" i="1"/>
  <c r="CF217" i="1" s="1"/>
  <c r="FA22" i="1"/>
  <c r="FB22" i="1"/>
  <c r="DF111" i="1"/>
  <c r="DY291" i="1"/>
  <c r="DX291" i="1" s="1"/>
  <c r="CH292" i="1"/>
  <c r="N295" i="1"/>
  <c r="FC279" i="1"/>
  <c r="HS361" i="1"/>
  <c r="EX291" i="1"/>
  <c r="EX290" i="1" s="1"/>
  <c r="EX354" i="1" s="1"/>
  <c r="CK298" i="1"/>
  <c r="CK295" i="1"/>
  <c r="N216" i="1"/>
  <c r="N269" i="1"/>
  <c r="HG121" i="1"/>
  <c r="EX31" i="1"/>
  <c r="EX207" i="1" s="1"/>
  <c r="EE105" i="1"/>
  <c r="ED105" i="1" s="1"/>
  <c r="CR290" i="1"/>
  <c r="FG97" i="1"/>
  <c r="FF361" i="1"/>
  <c r="FZ361" i="1" s="1"/>
  <c r="GP362" i="1"/>
  <c r="EX277" i="1"/>
  <c r="EY22" i="1"/>
  <c r="GJ363" i="1"/>
  <c r="GB363" i="1"/>
  <c r="GL361" i="1"/>
  <c r="FC269" i="1"/>
  <c r="GB274" i="1"/>
  <c r="HT190" i="1"/>
  <c r="HT189" i="1" s="1"/>
  <c r="HT18" i="1" s="1"/>
  <c r="HT17" i="1" s="1"/>
  <c r="HS17" i="1" s="1"/>
  <c r="CW292" i="1"/>
  <c r="FB361" i="1"/>
  <c r="FB11" i="1" s="1"/>
  <c r="EW105" i="1"/>
  <c r="FC287" i="1"/>
  <c r="GD287" i="1"/>
  <c r="ED269" i="1"/>
  <c r="GH288" i="1"/>
  <c r="EE224" i="1"/>
  <c r="ED224" i="1" s="1"/>
  <c r="EW267" i="1"/>
  <c r="EW263" i="1" s="1"/>
  <c r="EW288" i="1" s="1"/>
  <c r="DO51" i="1"/>
  <c r="DO191" i="1" s="1"/>
  <c r="EO276" i="1"/>
  <c r="FH64" i="1"/>
  <c r="FG64" i="1" s="1"/>
  <c r="EB29" i="1"/>
  <c r="FT377" i="1"/>
  <c r="GJ377" i="1"/>
  <c r="EK346" i="1"/>
  <c r="HN291" i="1"/>
  <c r="HN290" i="1" s="1"/>
  <c r="HN354" i="1" s="1"/>
  <c r="DH142" i="1"/>
  <c r="DF142" i="1" s="1"/>
  <c r="CZ105" i="1"/>
  <c r="EE310" i="1"/>
  <c r="ED310" i="1" s="1"/>
  <c r="AY180" i="1"/>
  <c r="CI290" i="1"/>
  <c r="ES52" i="1"/>
  <c r="CQ310" i="1"/>
  <c r="EW310" i="1"/>
  <c r="FC371" i="1"/>
  <c r="FT371" i="1" s="1"/>
  <c r="GP371" i="1"/>
  <c r="CL290" i="1"/>
  <c r="I292" i="1"/>
  <c r="AJ292" i="1"/>
  <c r="AJ290" i="1" s="1"/>
  <c r="Z292" i="1"/>
  <c r="Z290" i="1" s="1"/>
  <c r="AV298" i="1"/>
  <c r="H295" i="1"/>
  <c r="HX293" i="1"/>
  <c r="HW293" i="1" s="1"/>
  <c r="BE301" i="1"/>
  <c r="H301" i="1"/>
  <c r="DW290" i="1"/>
  <c r="DW354" i="1" s="1"/>
  <c r="FJ138" i="1"/>
  <c r="FJ137" i="1" s="1"/>
  <c r="ED142" i="1"/>
  <c r="EV152" i="1"/>
  <c r="ES152" i="1" s="1"/>
  <c r="AP290" i="1"/>
  <c r="AS292" i="1"/>
  <c r="AF293" i="1"/>
  <c r="BH292" i="1"/>
  <c r="FQ354" i="1"/>
  <c r="FQ355" i="1" s="1"/>
  <c r="BY301" i="1"/>
  <c r="E292" i="1"/>
  <c r="W295" i="1"/>
  <c r="W294" i="1"/>
  <c r="N298" i="1"/>
  <c r="S290" i="1"/>
  <c r="DA190" i="1"/>
  <c r="DA189" i="1" s="1"/>
  <c r="AV304" i="1"/>
  <c r="EY290" i="1"/>
  <c r="EY354" i="1" s="1"/>
  <c r="DZ290" i="1"/>
  <c r="DZ354" i="1" s="1"/>
  <c r="AD290" i="1"/>
  <c r="CJ290" i="1"/>
  <c r="CF292" i="1"/>
  <c r="IA352" i="1"/>
  <c r="IA23" i="1" s="1"/>
  <c r="IB23" i="1"/>
  <c r="HJ291" i="1"/>
  <c r="HJ290" i="1" s="1"/>
  <c r="HJ354" i="1" s="1"/>
  <c r="BZ292" i="1"/>
  <c r="BZ290" i="1" s="1"/>
  <c r="EJ291" i="1"/>
  <c r="EJ290" i="1" s="1"/>
  <c r="EJ354" i="1" s="1"/>
  <c r="ID291" i="1"/>
  <c r="ID290" i="1" s="1"/>
  <c r="ID354" i="1" s="1"/>
  <c r="DO292" i="1"/>
  <c r="CB292" i="1"/>
  <c r="DV291" i="1"/>
  <c r="DV290" i="1" s="1"/>
  <c r="BT310" i="1"/>
  <c r="AY293" i="1"/>
  <c r="AY292" i="1" s="1"/>
  <c r="AI290" i="1"/>
  <c r="AC292" i="1"/>
  <c r="AC290" i="1" s="1"/>
  <c r="DU310" i="1"/>
  <c r="CZ292" i="1"/>
  <c r="W301" i="1"/>
  <c r="AL301" i="1"/>
  <c r="BE295" i="1"/>
  <c r="DB290" i="1"/>
  <c r="DB354" i="1" s="1"/>
  <c r="CK304" i="1"/>
  <c r="BP292" i="1"/>
  <c r="BP290" i="1" s="1"/>
  <c r="CT292" i="1"/>
  <c r="CT291" i="1" s="1"/>
  <c r="CK301" i="1"/>
  <c r="BY293" i="1"/>
  <c r="DA292" i="1"/>
  <c r="DA291" i="1" s="1"/>
  <c r="CZ291" i="1" s="1"/>
  <c r="BY298" i="1"/>
  <c r="BH310" i="1"/>
  <c r="ED301" i="1"/>
  <c r="BJ290" i="1"/>
  <c r="AK294" i="1"/>
  <c r="P292" i="1"/>
  <c r="P290" i="1" s="1"/>
  <c r="Q292" i="1"/>
  <c r="N301" i="1"/>
  <c r="FK292" i="1"/>
  <c r="BO290" i="1"/>
  <c r="HX298" i="1"/>
  <c r="HW298" i="1" s="1"/>
  <c r="ET291" i="1"/>
  <c r="ET290" i="1" s="1"/>
  <c r="ET354" i="1" s="1"/>
  <c r="BG292" i="1"/>
  <c r="BG290" i="1" s="1"/>
  <c r="DX292" i="1"/>
  <c r="AX292" i="1"/>
  <c r="AX290" i="1" s="1"/>
  <c r="BR290" i="1"/>
  <c r="AR319" i="1"/>
  <c r="AR311" i="1" s="1"/>
  <c r="EW292" i="1"/>
  <c r="BE294" i="1"/>
  <c r="H298" i="1"/>
  <c r="CU310" i="1"/>
  <c r="CT310" i="1" s="1"/>
  <c r="BE298" i="1"/>
  <c r="CS290" i="1"/>
  <c r="BQ290" i="1"/>
  <c r="M290" i="1"/>
  <c r="GJ346" i="1"/>
  <c r="EE347" i="1"/>
  <c r="EE23" i="1" s="1"/>
  <c r="EI355" i="1"/>
  <c r="EI25" i="1" s="1"/>
  <c r="EI8" i="1" s="1"/>
  <c r="EK22" i="1"/>
  <c r="AT290" i="1"/>
  <c r="BE217" i="1"/>
  <c r="BE216" i="1" s="1"/>
  <c r="W217" i="1"/>
  <c r="DI219" i="1"/>
  <c r="X217" i="1"/>
  <c r="X216" i="1" s="1"/>
  <c r="EO213" i="1"/>
  <c r="DP203" i="1"/>
  <c r="IA190" i="1"/>
  <c r="IA189" i="1" s="1"/>
  <c r="FT206" i="1"/>
  <c r="HS190" i="1"/>
  <c r="HS189" i="1" s="1"/>
  <c r="BZ180" i="1"/>
  <c r="BY180" i="1" s="1"/>
  <c r="FE208" i="1"/>
  <c r="FE356" i="1" s="1"/>
  <c r="FX356" i="1" s="1"/>
  <c r="FE18" i="1"/>
  <c r="EZ176" i="1"/>
  <c r="EZ175" i="1" s="1"/>
  <c r="DG175" i="1"/>
  <c r="ET175" i="1"/>
  <c r="FL190" i="1"/>
  <c r="FL189" i="1" s="1"/>
  <c r="FL17" i="1" s="1"/>
  <c r="FK17" i="1" s="1"/>
  <c r="AW390" i="1"/>
  <c r="AV390" i="1" s="1"/>
  <c r="FC348" i="1"/>
  <c r="GL348" i="1"/>
  <c r="GD348" i="1"/>
  <c r="CA292" i="1"/>
  <c r="CA290" i="1" s="1"/>
  <c r="AV293" i="1"/>
  <c r="AV292" i="1" s="1"/>
  <c r="HM290" i="1"/>
  <c r="DM292" i="1"/>
  <c r="CF310" i="1"/>
  <c r="GL295" i="1"/>
  <c r="AR303" i="1"/>
  <c r="AR301" i="1" s="1"/>
  <c r="IB292" i="1"/>
  <c r="IA292" i="1" s="1"/>
  <c r="GN354" i="1"/>
  <c r="GD293" i="1"/>
  <c r="GL293" i="1"/>
  <c r="CU291" i="1"/>
  <c r="AE290" i="1"/>
  <c r="AA290" i="1"/>
  <c r="AS310" i="1"/>
  <c r="G290" i="1"/>
  <c r="BD290" i="1"/>
  <c r="GJ308" i="1"/>
  <c r="N236" i="1"/>
  <c r="HX225" i="1"/>
  <c r="HW225" i="1" s="1"/>
  <c r="BT224" i="1"/>
  <c r="BS224" i="1" s="1"/>
  <c r="IB224" i="1"/>
  <c r="IA224" i="1" s="1"/>
  <c r="EK219" i="1"/>
  <c r="EK217" i="1" s="1"/>
  <c r="H219" i="1"/>
  <c r="H216" i="1" s="1"/>
  <c r="BP213" i="1"/>
  <c r="BP285" i="1" s="1"/>
  <c r="BP355" i="1" s="1"/>
  <c r="BP25" i="1" s="1"/>
  <c r="EY31" i="1"/>
  <c r="FH122" i="1"/>
  <c r="FG122" i="1" s="1"/>
  <c r="FP120" i="1"/>
  <c r="FP119" i="1" s="1"/>
  <c r="FO119" i="1" s="1"/>
  <c r="EH105" i="1"/>
  <c r="EG105" i="1" s="1"/>
  <c r="DA31" i="1"/>
  <c r="BI113" i="1"/>
  <c r="BH113" i="1" s="1"/>
  <c r="BH114" i="1"/>
  <c r="HW67" i="1"/>
  <c r="DY31" i="1"/>
  <c r="IB44" i="1"/>
  <c r="IA44" i="1" s="1"/>
  <c r="FR291" i="1"/>
  <c r="FR290" i="1" s="1"/>
  <c r="FR354" i="1" s="1"/>
  <c r="HL291" i="1"/>
  <c r="HK291" i="1" s="1"/>
  <c r="FC310" i="1"/>
  <c r="FT310" i="1" s="1"/>
  <c r="GL310" i="1"/>
  <c r="BC290" i="1"/>
  <c r="AB290" i="1"/>
  <c r="EP291" i="1"/>
  <c r="EP290" i="1" s="1"/>
  <c r="EP354" i="1" s="1"/>
  <c r="BU290" i="1"/>
  <c r="AH290" i="1"/>
  <c r="GB248" i="1"/>
  <c r="GB294" i="1"/>
  <c r="GJ294" i="1"/>
  <c r="GJ304" i="1"/>
  <c r="GB304" i="1"/>
  <c r="ES175" i="1"/>
  <c r="FQ29" i="1"/>
  <c r="FD397" i="1"/>
  <c r="FE397" i="1"/>
  <c r="GB296" i="1"/>
  <c r="GJ296" i="1"/>
  <c r="GJ349" i="1"/>
  <c r="GD349" i="1"/>
  <c r="GB349" i="1"/>
  <c r="GB301" i="1"/>
  <c r="GJ301" i="1"/>
  <c r="GB298" i="1"/>
  <c r="GJ298" i="1"/>
  <c r="HR12" i="1"/>
  <c r="GJ15" i="1"/>
  <c r="GL15" i="1"/>
  <c r="BS236" i="1"/>
  <c r="IB239" i="1"/>
  <c r="IA239" i="1" s="1"/>
  <c r="GB242" i="1"/>
  <c r="H236" i="1"/>
  <c r="HS209" i="1"/>
  <c r="HS362" i="1"/>
  <c r="EG361" i="1"/>
  <c r="FC362" i="1"/>
  <c r="FT362" i="1" s="1"/>
  <c r="EU290" i="1"/>
  <c r="EU354" i="1" s="1"/>
  <c r="EU355" i="1" s="1"/>
  <c r="FI354" i="1"/>
  <c r="FI355" i="1" s="1"/>
  <c r="FI396" i="1" s="1"/>
  <c r="EM290" i="1"/>
  <c r="EM354" i="1" s="1"/>
  <c r="FI356" i="1"/>
  <c r="FI26" i="1" s="1"/>
  <c r="FI11" i="1" s="1"/>
  <c r="FI10" i="1" s="1"/>
  <c r="CQ292" i="1"/>
  <c r="CL387" i="1"/>
  <c r="CL15" i="1" s="1"/>
  <c r="Y292" i="1"/>
  <c r="BL292" i="1"/>
  <c r="EE203" i="1"/>
  <c r="ED203" i="1" s="1"/>
  <c r="DU292" i="1"/>
  <c r="EG292" i="1" s="1"/>
  <c r="DI175" i="1"/>
  <c r="BM290" i="1"/>
  <c r="EA291" i="1"/>
  <c r="CH105" i="1"/>
  <c r="EO190" i="1"/>
  <c r="EO189" i="1" s="1"/>
  <c r="FC295" i="1"/>
  <c r="FT295" i="1" s="1"/>
  <c r="GD295" i="1"/>
  <c r="FD216" i="1"/>
  <c r="ES282" i="1"/>
  <c r="FC236" i="1"/>
  <c r="GD236" i="1"/>
  <c r="BG213" i="1"/>
  <c r="ES150" i="1"/>
  <c r="DK137" i="1"/>
  <c r="DK211" i="1" s="1"/>
  <c r="DK359" i="1" s="1"/>
  <c r="GV105" i="1"/>
  <c r="GU105" i="1" s="1"/>
  <c r="CJ31" i="1"/>
  <c r="CJ207" i="1" s="1"/>
  <c r="IA209" i="1"/>
  <c r="CS31" i="1"/>
  <c r="CS207" i="1" s="1"/>
  <c r="CS355" i="1" s="1"/>
  <c r="CS10" i="1" s="1"/>
  <c r="CH35" i="1"/>
  <c r="IA33" i="1"/>
  <c r="HT35" i="1"/>
  <c r="HS35" i="1" s="1"/>
  <c r="FC44" i="1"/>
  <c r="GB44" i="1" s="1"/>
  <c r="IB36" i="1"/>
  <c r="IA36" i="1" s="1"/>
  <c r="DB31" i="1"/>
  <c r="DB207" i="1" s="1"/>
  <c r="EO90" i="1"/>
  <c r="FV44" i="1"/>
  <c r="HL36" i="1"/>
  <c r="HL35" i="1" s="1"/>
  <c r="GD44" i="1"/>
  <c r="DG75" i="1"/>
  <c r="DF75" i="1" s="1"/>
  <c r="CU207" i="1"/>
  <c r="CQ35" i="1"/>
  <c r="CH390" i="1"/>
  <c r="BY387" i="1"/>
  <c r="BY15" i="1" s="1"/>
  <c r="CL35" i="1"/>
  <c r="CR31" i="1"/>
  <c r="CR207" i="1" s="1"/>
  <c r="CZ35" i="1"/>
  <c r="GA85" i="1"/>
  <c r="GB85" i="1" s="1"/>
  <c r="GA84" i="1"/>
  <c r="GB84" i="1" s="1"/>
  <c r="ER285" i="1"/>
  <c r="CN288" i="1"/>
  <c r="AV301" i="1"/>
  <c r="T292" i="1"/>
  <c r="CK293" i="1"/>
  <c r="AG292" i="1"/>
  <c r="AG290" i="1" s="1"/>
  <c r="AK301" i="1"/>
  <c r="FA292" i="1"/>
  <c r="EZ292" i="1" s="1"/>
  <c r="AC213" i="1"/>
  <c r="AC285" i="1" s="1"/>
  <c r="AC355" i="1" s="1"/>
  <c r="AC10" i="1" s="1"/>
  <c r="CZ213" i="1"/>
  <c r="CZ285" i="1" s="1"/>
  <c r="DU31" i="1"/>
  <c r="EW175" i="1"/>
  <c r="CC29" i="1"/>
  <c r="AZ397" i="1"/>
  <c r="AZ14" i="1" s="1"/>
  <c r="DV397" i="1"/>
  <c r="DV14" i="1" s="1"/>
  <c r="EE29" i="1"/>
  <c r="FA397" i="1"/>
  <c r="FA14" i="1" s="1"/>
  <c r="CI397" i="1"/>
  <c r="CI14" i="1" s="1"/>
  <c r="BI397" i="1"/>
  <c r="BI14" i="1" s="1"/>
  <c r="FC244" i="1"/>
  <c r="GD244" i="1"/>
  <c r="W236" i="1"/>
  <c r="DU213" i="1"/>
  <c r="DU285" i="1" s="1"/>
  <c r="CT387" i="1"/>
  <c r="CT15" i="1" s="1"/>
  <c r="CA15" i="1"/>
  <c r="BK253" i="1"/>
  <c r="CK35" i="1"/>
  <c r="CT31" i="1"/>
  <c r="HN158" i="1"/>
  <c r="HK158" i="1" s="1"/>
  <c r="BK244" i="1"/>
  <c r="EI10" i="1"/>
  <c r="FB207" i="1"/>
  <c r="BT116" i="1"/>
  <c r="DV31" i="1"/>
  <c r="DV207" i="1" s="1"/>
  <c r="EP31" i="1"/>
  <c r="EO35" i="1"/>
  <c r="EO31" i="1" s="1"/>
  <c r="BL40" i="1"/>
  <c r="GD15" i="1"/>
  <c r="GU387" i="1"/>
  <c r="GU15" i="1" s="1"/>
  <c r="ET29" i="1"/>
  <c r="EW35" i="1"/>
  <c r="DX105" i="1"/>
  <c r="DX35" i="1"/>
  <c r="FE29" i="1"/>
  <c r="W359" i="1"/>
  <c r="FD29" i="1"/>
  <c r="EO292" i="1"/>
  <c r="HP387" i="1"/>
  <c r="HP15" i="1" s="1"/>
  <c r="T397" i="1"/>
  <c r="P361" i="1"/>
  <c r="GH269" i="1"/>
  <c r="GB206" i="1"/>
  <c r="FE207" i="1"/>
  <c r="FE17" i="1"/>
  <c r="ES17" i="1"/>
  <c r="EL203" i="1"/>
  <c r="EK203" i="1" s="1"/>
  <c r="FA203" i="1"/>
  <c r="EZ203" i="1" s="1"/>
  <c r="EL36" i="1"/>
  <c r="EK36" i="1" s="1"/>
  <c r="DQ219" i="1"/>
  <c r="DO219" i="1" s="1"/>
  <c r="DL219" i="1"/>
  <c r="EO269" i="1"/>
  <c r="EP285" i="1"/>
  <c r="DI35" i="1"/>
  <c r="FC190" i="1"/>
  <c r="GB197" i="1"/>
  <c r="FT197" i="1"/>
  <c r="GJ197" i="1"/>
  <c r="FC156" i="1"/>
  <c r="GH156" i="1"/>
  <c r="FZ156" i="1"/>
  <c r="GP156" i="1"/>
  <c r="AQ290" i="1"/>
  <c r="HQ397" i="1"/>
  <c r="HQ29" i="1"/>
  <c r="HM397" i="1"/>
  <c r="HM29" i="1"/>
  <c r="IA249" i="1"/>
  <c r="IB244" i="1"/>
  <c r="IA244" i="1" s="1"/>
  <c r="GJ129" i="1"/>
  <c r="FT129" i="1"/>
  <c r="GB129" i="1"/>
  <c r="GJ65" i="1"/>
  <c r="FT65" i="1"/>
  <c r="GB65" i="1"/>
  <c r="FT51" i="1"/>
  <c r="GB51" i="1"/>
  <c r="GJ51" i="1"/>
  <c r="FT204" i="1"/>
  <c r="GB204" i="1"/>
  <c r="GJ204" i="1"/>
  <c r="FT198" i="1"/>
  <c r="GJ198" i="1"/>
  <c r="GB198" i="1"/>
  <c r="GL197" i="1"/>
  <c r="GD197" i="1"/>
  <c r="FV197" i="1"/>
  <c r="GB192" i="1"/>
  <c r="FT192" i="1"/>
  <c r="GJ192" i="1"/>
  <c r="GJ107" i="1"/>
  <c r="GB107" i="1"/>
  <c r="FT107" i="1"/>
  <c r="FP44" i="1"/>
  <c r="FO44" i="1" s="1"/>
  <c r="FO45" i="1"/>
  <c r="FD209" i="1"/>
  <c r="GD33" i="1"/>
  <c r="FV33" i="1"/>
  <c r="GL33" i="1"/>
  <c r="FC33" i="1"/>
  <c r="AF219" i="1"/>
  <c r="AG217" i="1"/>
  <c r="AG216" i="1" s="1"/>
  <c r="AG213" i="1" s="1"/>
  <c r="AG285" i="1" s="1"/>
  <c r="AG355" i="1" s="1"/>
  <c r="FT203" i="1"/>
  <c r="GJ203" i="1"/>
  <c r="GB203" i="1"/>
  <c r="FT170" i="1"/>
  <c r="GJ170" i="1"/>
  <c r="GB170" i="1"/>
  <c r="GL175" i="1"/>
  <c r="GD175" i="1"/>
  <c r="FV175" i="1"/>
  <c r="FT162" i="1"/>
  <c r="GJ162" i="1"/>
  <c r="FT78" i="1"/>
  <c r="GB78" i="1"/>
  <c r="HO45" i="1"/>
  <c r="HP44" i="1"/>
  <c r="HO44" i="1" s="1"/>
  <c r="GD19" i="1"/>
  <c r="GL19" i="1"/>
  <c r="GB16" i="1"/>
  <c r="GJ16" i="1"/>
  <c r="EH209" i="1"/>
  <c r="EG33" i="1"/>
  <c r="HX377" i="1"/>
  <c r="HX362" i="1" s="1"/>
  <c r="BE293" i="1"/>
  <c r="G285" i="1"/>
  <c r="G355" i="1" s="1"/>
  <c r="G392" i="1" s="1"/>
  <c r="EL29" i="1"/>
  <c r="EE176" i="1"/>
  <c r="ED176" i="1" s="1"/>
  <c r="ED175" i="1" s="1"/>
  <c r="ED137" i="1"/>
  <c r="ED211" i="1" s="1"/>
  <c r="ED359" i="1" s="1"/>
  <c r="ED29" i="1" s="1"/>
  <c r="HU29" i="1"/>
  <c r="AF294" i="1"/>
  <c r="BW290" i="1"/>
  <c r="HW269" i="1"/>
  <c r="H207" i="1"/>
  <c r="EE35" i="1"/>
  <c r="FG175" i="1"/>
  <c r="AT29" i="1"/>
  <c r="EO352" i="1"/>
  <c r="EO23" i="1" s="1"/>
  <c r="EP23" i="1"/>
  <c r="FK213" i="1"/>
  <c r="FK285" i="1" s="1"/>
  <c r="HI397" i="1"/>
  <c r="HI29" i="1"/>
  <c r="W298" i="1"/>
  <c r="H294" i="1"/>
  <c r="HG282" i="1"/>
  <c r="HH279" i="1"/>
  <c r="HG279" i="1" s="1"/>
  <c r="HH244" i="1"/>
  <c r="HG244" i="1" s="1"/>
  <c r="HG249" i="1"/>
  <c r="FT158" i="1"/>
  <c r="GJ158" i="1"/>
  <c r="GB158" i="1"/>
  <c r="HH45" i="1"/>
  <c r="HG47" i="1"/>
  <c r="FT132" i="1"/>
  <c r="GB132" i="1"/>
  <c r="GJ132" i="1"/>
  <c r="FT126" i="1"/>
  <c r="GB126" i="1"/>
  <c r="GJ126" i="1"/>
  <c r="GB110" i="1"/>
  <c r="FT110" i="1"/>
  <c r="GJ110" i="1"/>
  <c r="FZ27" i="1"/>
  <c r="GP27" i="1"/>
  <c r="FT175" i="1"/>
  <c r="GJ175" i="1"/>
  <c r="GB175" i="1"/>
  <c r="W216" i="1"/>
  <c r="HT310" i="1"/>
  <c r="HY397" i="1"/>
  <c r="HY14" i="1" s="1"/>
  <c r="HY29" i="1"/>
  <c r="EO349" i="1"/>
  <c r="EP348" i="1"/>
  <c r="EO348" i="1" s="1"/>
  <c r="BH111" i="1"/>
  <c r="BI110" i="1"/>
  <c r="BH110" i="1" s="1"/>
  <c r="CC111" i="1"/>
  <c r="FT96" i="1"/>
  <c r="GJ96" i="1"/>
  <c r="GB96" i="1"/>
  <c r="FO41" i="1"/>
  <c r="FH41" i="1"/>
  <c r="ET209" i="1"/>
  <c r="ES33" i="1"/>
  <c r="FT138" i="1"/>
  <c r="GJ138" i="1"/>
  <c r="GB138" i="1"/>
  <c r="DR144" i="1"/>
  <c r="DT142" i="1"/>
  <c r="DR142" i="1" s="1"/>
  <c r="FC125" i="1"/>
  <c r="FV125" i="1"/>
  <c r="GD125" i="1"/>
  <c r="GL125" i="1"/>
  <c r="HX269" i="1"/>
  <c r="ED35" i="1"/>
  <c r="EF207" i="1"/>
  <c r="EF355" i="1" s="1"/>
  <c r="K387" i="1"/>
  <c r="J310" i="1"/>
  <c r="CN300" i="1"/>
  <c r="BF292" i="1"/>
  <c r="N294" i="1"/>
  <c r="GV291" i="1"/>
  <c r="GV290" i="1" s="1"/>
  <c r="BV292" i="1"/>
  <c r="BV290" i="1" s="1"/>
  <c r="CA263" i="1"/>
  <c r="CA288" i="1" s="1"/>
  <c r="J387" i="1"/>
  <c r="EA285" i="1"/>
  <c r="EH29" i="1"/>
  <c r="Q397" i="1"/>
  <c r="EY285" i="1"/>
  <c r="FK35" i="1"/>
  <c r="FK31" i="1" s="1"/>
  <c r="DJ35" i="1"/>
  <c r="DI105" i="1"/>
  <c r="DS224" i="1"/>
  <c r="DR224" i="1" s="1"/>
  <c r="DI190" i="1"/>
  <c r="DI189" i="1" s="1"/>
  <c r="EO175" i="1"/>
  <c r="AS216" i="1"/>
  <c r="AS213" i="1" s="1"/>
  <c r="DT11" i="1"/>
  <c r="DR11" i="1" s="1"/>
  <c r="AU290" i="1"/>
  <c r="FT172" i="1"/>
  <c r="GB172" i="1"/>
  <c r="GJ172" i="1"/>
  <c r="IC397" i="1"/>
  <c r="IC29" i="1"/>
  <c r="CK254" i="1"/>
  <c r="CL253" i="1"/>
  <c r="CK253" i="1" s="1"/>
  <c r="AY226" i="1"/>
  <c r="BL226" i="1" s="1"/>
  <c r="AW226" i="1"/>
  <c r="AV226" i="1" s="1"/>
  <c r="AZ224" i="1"/>
  <c r="AY224" i="1" s="1"/>
  <c r="HW193" i="1"/>
  <c r="HX191" i="1"/>
  <c r="HW191" i="1" s="1"/>
  <c r="GB97" i="1"/>
  <c r="FT97" i="1"/>
  <c r="GJ97" i="1"/>
  <c r="GB116" i="1"/>
  <c r="GJ116" i="1"/>
  <c r="FT116" i="1"/>
  <c r="FG47" i="1"/>
  <c r="FH45" i="1"/>
  <c r="HX279" i="1"/>
  <c r="HW279" i="1" s="1"/>
  <c r="HW282" i="1"/>
  <c r="AV224" i="1"/>
  <c r="IA61" i="1"/>
  <c r="IB59" i="1"/>
  <c r="IA59" i="1" s="1"/>
  <c r="DZ31" i="1"/>
  <c r="DZ207" i="1" s="1"/>
  <c r="N293" i="1"/>
  <c r="O292" i="1"/>
  <c r="FD228" i="1"/>
  <c r="Z217" i="1"/>
  <c r="Z216" i="1" s="1"/>
  <c r="FK144" i="1"/>
  <c r="FN142" i="1"/>
  <c r="FK142" i="1" s="1"/>
  <c r="FH33" i="1"/>
  <c r="GB22" i="1"/>
  <c r="GJ22" i="1"/>
  <c r="DG191" i="1"/>
  <c r="DF191" i="1" s="1"/>
  <c r="HX301" i="1"/>
  <c r="HW301" i="1" s="1"/>
  <c r="ET36" i="1"/>
  <c r="FT191" i="1"/>
  <c r="GB191" i="1"/>
  <c r="GJ191" i="1"/>
  <c r="BB397" i="1"/>
  <c r="BB14" i="1" s="1"/>
  <c r="AB29" i="1"/>
  <c r="EY137" i="1"/>
  <c r="EY211" i="1" s="1"/>
  <c r="EY359" i="1" s="1"/>
  <c r="EY29" i="1" s="1"/>
  <c r="AV310" i="1"/>
  <c r="AI29" i="1"/>
  <c r="HO363" i="1"/>
  <c r="CQ359" i="1"/>
  <c r="CQ29" i="1" s="1"/>
  <c r="CI187" i="1"/>
  <c r="AJ29" i="1"/>
  <c r="BE224" i="1"/>
  <c r="CO207" i="1"/>
  <c r="CO263" i="1"/>
  <c r="CO242" i="1" s="1"/>
  <c r="CO239" i="1" s="1"/>
  <c r="CO238" i="1" s="1"/>
  <c r="CO236" i="1" s="1"/>
  <c r="CO230" i="1" s="1"/>
  <c r="CO229" i="1" s="1"/>
  <c r="CO228" i="1" s="1"/>
  <c r="CO227" i="1" s="1"/>
  <c r="CO226" i="1" s="1"/>
  <c r="CO225" i="1" s="1"/>
  <c r="CO224" i="1" s="1"/>
  <c r="CO213" i="1" s="1"/>
  <c r="CO285" i="1" s="1"/>
  <c r="AN355" i="1"/>
  <c r="AN10" i="1" s="1"/>
  <c r="EP190" i="1"/>
  <c r="EP189" i="1" s="1"/>
  <c r="BG264" i="1"/>
  <c r="BE264" i="1" s="1"/>
  <c r="CR187" i="1"/>
  <c r="CS187" i="1"/>
  <c r="AU285" i="1"/>
  <c r="AU355" i="1" s="1"/>
  <c r="AU392" i="1" s="1"/>
  <c r="AU8" i="1" s="1"/>
  <c r="AS269" i="1"/>
  <c r="CR29" i="1"/>
  <c r="AD25" i="1"/>
  <c r="AD394" i="1"/>
  <c r="AD396" i="1" s="1"/>
  <c r="AD392" i="1"/>
  <c r="AD8" i="1" s="1"/>
  <c r="CV137" i="1"/>
  <c r="CV211" i="1" s="1"/>
  <c r="FM394" i="1"/>
  <c r="H224" i="1"/>
  <c r="CM207" i="1"/>
  <c r="T213" i="1"/>
  <c r="EA290" i="1"/>
  <c r="EA354" i="1" s="1"/>
  <c r="U285" i="1"/>
  <c r="T285" i="1" s="1"/>
  <c r="AC29" i="1"/>
  <c r="BA290" i="1"/>
  <c r="EQ396" i="1"/>
  <c r="BF310" i="1"/>
  <c r="AP394" i="1"/>
  <c r="AP392" i="1"/>
  <c r="AP8" i="1" s="1"/>
  <c r="DY190" i="1"/>
  <c r="DY189" i="1" s="1"/>
  <c r="AH359" i="1"/>
  <c r="AH397" i="1" s="1"/>
  <c r="AH14" i="1" s="1"/>
  <c r="AW290" i="1"/>
  <c r="CU211" i="1"/>
  <c r="CU359" i="1" s="1"/>
  <c r="EQ10" i="1"/>
  <c r="AS263" i="1"/>
  <c r="AS288" i="1" s="1"/>
  <c r="AS359" i="1" s="1"/>
  <c r="AS29" i="1" s="1"/>
  <c r="EQ392" i="1"/>
  <c r="EQ8" i="1" s="1"/>
  <c r="X51" i="1"/>
  <c r="X211" i="1" s="1"/>
  <c r="CN207" i="1"/>
  <c r="CN213" i="1"/>
  <c r="CN285" i="1" s="1"/>
  <c r="AD10" i="1"/>
  <c r="AF236" i="1"/>
  <c r="AL236" i="1" s="1"/>
  <c r="Y213" i="1"/>
  <c r="Y285" i="1" s="1"/>
  <c r="Y355" i="1" s="1"/>
  <c r="EQ394" i="1"/>
  <c r="BT292" i="1"/>
  <c r="AK227" i="1"/>
  <c r="BI290" i="1"/>
  <c r="DX213" i="1"/>
  <c r="DX285" i="1" s="1"/>
  <c r="AJ355" i="1"/>
  <c r="AJ25" i="1" s="1"/>
  <c r="CN316" i="1"/>
  <c r="CN311" i="1" s="1"/>
  <c r="X224" i="1"/>
  <c r="CP242" i="1"/>
  <c r="CP239" i="1" s="1"/>
  <c r="CP238" i="1" s="1"/>
  <c r="CP236" i="1" s="1"/>
  <c r="CP230" i="1" s="1"/>
  <c r="CP229" i="1" s="1"/>
  <c r="CP228" i="1" s="1"/>
  <c r="CP227" i="1" s="1"/>
  <c r="CP226" i="1" s="1"/>
  <c r="CP225" i="1" s="1"/>
  <c r="CP224" i="1" s="1"/>
  <c r="CP213" i="1" s="1"/>
  <c r="CP285" i="1" s="1"/>
  <c r="AP25" i="1"/>
  <c r="AL44" i="1"/>
  <c r="Z228" i="1"/>
  <c r="AK228" i="1" s="1"/>
  <c r="AK213" i="1" s="1"/>
  <c r="AA213" i="1"/>
  <c r="AA285" i="1" s="1"/>
  <c r="AA355" i="1" s="1"/>
  <c r="AA25" i="1" s="1"/>
  <c r="W224" i="1"/>
  <c r="FM25" i="1"/>
  <c r="FM10" i="1"/>
  <c r="AP10" i="1"/>
  <c r="N224" i="1"/>
  <c r="FM392" i="1"/>
  <c r="FM8" i="1" s="1"/>
  <c r="CJ285" i="1"/>
  <c r="AB355" i="1"/>
  <c r="AB392" i="1" s="1"/>
  <c r="AB8" i="1" s="1"/>
  <c r="FF152" i="1"/>
  <c r="FF137" i="1" s="1"/>
  <c r="EU29" i="1"/>
  <c r="DX137" i="1"/>
  <c r="DX211" i="1" s="1"/>
  <c r="DX359" i="1" s="1"/>
  <c r="CK310" i="1"/>
  <c r="BA263" i="1"/>
  <c r="BA285" i="1" s="1"/>
  <c r="BA355" i="1" s="1"/>
  <c r="AU288" i="1"/>
  <c r="AU359" i="1" s="1"/>
  <c r="AU29" i="1" s="1"/>
  <c r="E213" i="1"/>
  <c r="BU285" i="1"/>
  <c r="BU355" i="1" s="1"/>
  <c r="BU25" i="1" s="1"/>
  <c r="BN290" i="1"/>
  <c r="AE397" i="1"/>
  <c r="AE14" i="1" s="1"/>
  <c r="AE29" i="1"/>
  <c r="FR156" i="1"/>
  <c r="FN156" i="1" s="1"/>
  <c r="AM397" i="1"/>
  <c r="AM14" i="1" s="1"/>
  <c r="AM29" i="1"/>
  <c r="BY310" i="1"/>
  <c r="CP207" i="1"/>
  <c r="HY332" i="1"/>
  <c r="IA332" i="1"/>
  <c r="AF387" i="1"/>
  <c r="AG15" i="1"/>
  <c r="AH285" i="1"/>
  <c r="AH355" i="1" s="1"/>
  <c r="BI229" i="1"/>
  <c r="BI228" i="1" s="1"/>
  <c r="BH228" i="1" s="1"/>
  <c r="AT213" i="1"/>
  <c r="AT285" i="1" s="1"/>
  <c r="AT355" i="1" s="1"/>
  <c r="AT25" i="1" s="1"/>
  <c r="AL207" i="1"/>
  <c r="AZ228" i="1"/>
  <c r="BT228" i="1" s="1"/>
  <c r="BS228" i="1" s="1"/>
  <c r="AF288" i="1"/>
  <c r="AF359" i="1" s="1"/>
  <c r="AY269" i="1"/>
  <c r="BL269" i="1" s="1"/>
  <c r="AK53" i="1"/>
  <c r="Z51" i="1"/>
  <c r="AK51" i="1" s="1"/>
  <c r="AR227" i="1"/>
  <c r="AR224" i="1" s="1"/>
  <c r="AL227" i="1"/>
  <c r="EO156" i="1"/>
  <c r="ER152" i="1"/>
  <c r="EO152" i="1" s="1"/>
  <c r="EC397" i="1"/>
  <c r="EC14" i="1" s="1"/>
  <c r="EC29" i="1"/>
  <c r="CH388" i="1"/>
  <c r="CL388" i="1"/>
  <c r="CK388" i="1" s="1"/>
  <c r="DA388" i="1" s="1"/>
  <c r="CZ388" i="1" s="1"/>
  <c r="FH377" i="1"/>
  <c r="FG382" i="1"/>
  <c r="FN371" i="1"/>
  <c r="FK375" i="1"/>
  <c r="FN12" i="1"/>
  <c r="FK12" i="1" s="1"/>
  <c r="P387" i="1"/>
  <c r="AV364" i="1"/>
  <c r="AV361" i="1" s="1"/>
  <c r="AV397" i="1" s="1"/>
  <c r="AV14" i="1" s="1"/>
  <c r="BA364" i="1"/>
  <c r="AX361" i="1"/>
  <c r="HG352" i="1"/>
  <c r="HG23" i="1" s="1"/>
  <c r="HH23" i="1"/>
  <c r="GV361" i="1"/>
  <c r="DF353" i="1"/>
  <c r="DG352" i="1"/>
  <c r="DF352" i="1" s="1"/>
  <c r="HI22" i="1"/>
  <c r="HG22" i="1" s="1"/>
  <c r="EZ347" i="1"/>
  <c r="EZ22" i="1"/>
  <c r="X310" i="1"/>
  <c r="CN296" i="1"/>
  <c r="CO293" i="1"/>
  <c r="CO292" i="1" s="1"/>
  <c r="CO295" i="1"/>
  <c r="CN295" i="1" s="1"/>
  <c r="HG316" i="1"/>
  <c r="HG311" i="1" s="1"/>
  <c r="HH310" i="1"/>
  <c r="HG310" i="1" s="1"/>
  <c r="U290" i="1"/>
  <c r="HI354" i="1"/>
  <c r="HI355" i="1" s="1"/>
  <c r="M359" i="1"/>
  <c r="M397" i="1" s="1"/>
  <c r="K263" i="1"/>
  <c r="K359" i="1" s="1"/>
  <c r="K397" i="1" s="1"/>
  <c r="BE254" i="1"/>
  <c r="BE253" i="1" s="1"/>
  <c r="BF253" i="1"/>
  <c r="DF242" i="1"/>
  <c r="DG236" i="1"/>
  <c r="DF236" i="1" s="1"/>
  <c r="CQ218" i="1"/>
  <c r="CQ217" i="1" s="1"/>
  <c r="CQ216" i="1" s="1"/>
  <c r="CQ213" i="1" s="1"/>
  <c r="CQ285" i="1" s="1"/>
  <c r="CR217" i="1"/>
  <c r="CR216" i="1" s="1"/>
  <c r="CR213" i="1" s="1"/>
  <c r="CR285" i="1" s="1"/>
  <c r="FK175" i="1"/>
  <c r="FK197" i="1"/>
  <c r="FK190" i="1" s="1"/>
  <c r="FK189" i="1" s="1"/>
  <c r="CH187" i="1"/>
  <c r="H136" i="1"/>
  <c r="FO40" i="1"/>
  <c r="HP105" i="1"/>
  <c r="HO105" i="1" s="1"/>
  <c r="HO106" i="1"/>
  <c r="AN397" i="1"/>
  <c r="AN14" i="1" s="1"/>
  <c r="AN29" i="1"/>
  <c r="EA176" i="1"/>
  <c r="EB175" i="1"/>
  <c r="EB197" i="1"/>
  <c r="EB190" i="1" s="1"/>
  <c r="EB189" i="1" s="1"/>
  <c r="DT162" i="1"/>
  <c r="DR163" i="1"/>
  <c r="DT154" i="1"/>
  <c r="EZ219" i="1"/>
  <c r="FA217" i="1"/>
  <c r="HS357" i="1"/>
  <c r="HT27" i="1"/>
  <c r="EW216" i="1"/>
  <c r="EX213" i="1"/>
  <c r="EX285" i="1" s="1"/>
  <c r="BT183" i="1"/>
  <c r="BS184" i="1"/>
  <c r="BS183" i="1" s="1"/>
  <c r="HN166" i="1"/>
  <c r="HK166" i="1" s="1"/>
  <c r="HR166" i="1"/>
  <c r="HO166" i="1" s="1"/>
  <c r="HG377" i="1"/>
  <c r="HH362" i="1"/>
  <c r="W388" i="1"/>
  <c r="X387" i="1"/>
  <c r="W387" i="1" s="1"/>
  <c r="DF347" i="1"/>
  <c r="DF23" i="1" s="1"/>
  <c r="EZ352" i="1"/>
  <c r="EZ23" i="1" s="1"/>
  <c r="FA23" i="1"/>
  <c r="DG301" i="1"/>
  <c r="DF303" i="1"/>
  <c r="J292" i="1"/>
  <c r="H293" i="1"/>
  <c r="BY294" i="1"/>
  <c r="CP298" i="1"/>
  <c r="CP294" i="1"/>
  <c r="CN294" i="1" s="1"/>
  <c r="F310" i="1"/>
  <c r="DF300" i="1"/>
  <c r="DG294" i="1"/>
  <c r="CC276" i="1"/>
  <c r="BH276" i="1"/>
  <c r="BT239" i="1"/>
  <c r="BT236" i="1" s="1"/>
  <c r="AY239" i="1"/>
  <c r="AY236" i="1" s="1"/>
  <c r="BL239" i="1"/>
  <c r="HO267" i="1"/>
  <c r="HO263" i="1" s="1"/>
  <c r="HO288" i="1" s="1"/>
  <c r="HR263" i="1"/>
  <c r="HN267" i="1"/>
  <c r="Z288" i="1"/>
  <c r="Z359" i="1" s="1"/>
  <c r="AK263" i="1"/>
  <c r="AK288" i="1" s="1"/>
  <c r="AK359" i="1" s="1"/>
  <c r="DR242" i="1"/>
  <c r="DS236" i="1"/>
  <c r="DR236" i="1" s="1"/>
  <c r="EK221" i="1"/>
  <c r="EL216" i="1"/>
  <c r="HO231" i="1"/>
  <c r="DL221" i="1"/>
  <c r="DG217" i="1"/>
  <c r="DW211" i="1"/>
  <c r="DW359" i="1" s="1"/>
  <c r="DU137" i="1"/>
  <c r="DU211" i="1" s="1"/>
  <c r="DU359" i="1" s="1"/>
  <c r="N137" i="1"/>
  <c r="AL104" i="1"/>
  <c r="AR104" i="1"/>
  <c r="HW114" i="1"/>
  <c r="HX113" i="1"/>
  <c r="HX217" i="1"/>
  <c r="HW218" i="1"/>
  <c r="DR68" i="1"/>
  <c r="DS65" i="1"/>
  <c r="DR65" i="1" s="1"/>
  <c r="DZ277" i="1"/>
  <c r="EA22" i="1"/>
  <c r="EK238" i="1"/>
  <c r="EK236" i="1" s="1"/>
  <c r="EL236" i="1"/>
  <c r="DK217" i="1"/>
  <c r="DK216" i="1" s="1"/>
  <c r="DK213" i="1" s="1"/>
  <c r="DK285" i="1" s="1"/>
  <c r="DI218" i="1"/>
  <c r="DN218" i="1"/>
  <c r="DQ218" i="1" s="1"/>
  <c r="DG197" i="1"/>
  <c r="DF199" i="1"/>
  <c r="HH175" i="1"/>
  <c r="GU175" i="1"/>
  <c r="DQ211" i="1"/>
  <c r="DQ359" i="1" s="1"/>
  <c r="DO137" i="1"/>
  <c r="DO211" i="1" s="1"/>
  <c r="DF127" i="1"/>
  <c r="DG125" i="1"/>
  <c r="N104" i="1"/>
  <c r="DR53" i="1"/>
  <c r="DS51" i="1"/>
  <c r="DF46" i="1"/>
  <c r="DG44" i="1"/>
  <c r="DF44" i="1" s="1"/>
  <c r="HX33" i="1"/>
  <c r="HW37" i="1"/>
  <c r="FO357" i="1"/>
  <c r="FP27" i="1"/>
  <c r="DQ207" i="1"/>
  <c r="AR270" i="1"/>
  <c r="AR269" i="1" s="1"/>
  <c r="AL270" i="1"/>
  <c r="AL269" i="1" s="1"/>
  <c r="AF269" i="1"/>
  <c r="BL264" i="1"/>
  <c r="EZ238" i="1"/>
  <c r="FA236" i="1"/>
  <c r="EZ236" i="1" s="1"/>
  <c r="FH219" i="1"/>
  <c r="FO219" i="1"/>
  <c r="FP217" i="1"/>
  <c r="R285" i="1"/>
  <c r="Q213" i="1"/>
  <c r="HG192" i="1"/>
  <c r="HH191" i="1"/>
  <c r="GX211" i="1"/>
  <c r="GX208" i="1"/>
  <c r="GU137" i="1"/>
  <c r="GU211" i="1" s="1"/>
  <c r="GU359" i="1" s="1"/>
  <c r="FG249" i="1"/>
  <c r="FH21" i="1"/>
  <c r="FG21" i="1" s="1"/>
  <c r="FG238" i="1"/>
  <c r="CX189" i="1"/>
  <c r="CX17" i="1" s="1"/>
  <c r="CW17" i="1" s="1"/>
  <c r="CW190" i="1"/>
  <c r="CW189" i="1" s="1"/>
  <c r="BL183" i="1"/>
  <c r="AY183" i="1"/>
  <c r="AK44" i="1"/>
  <c r="IA357" i="1"/>
  <c r="IB27" i="1"/>
  <c r="BZ224" i="1"/>
  <c r="BY224" i="1" s="1"/>
  <c r="CB224" i="1"/>
  <c r="CC213" i="1"/>
  <c r="DW207" i="1"/>
  <c r="DJ190" i="1"/>
  <c r="DJ189" i="1" s="1"/>
  <c r="DJ17" i="1" s="1"/>
  <c r="DI17" i="1" s="1"/>
  <c r="HO138" i="1"/>
  <c r="EE298" i="1"/>
  <c r="ED298" i="1" s="1"/>
  <c r="ED299" i="1"/>
  <c r="DR296" i="1"/>
  <c r="DS295" i="1"/>
  <c r="DR295" i="1" s="1"/>
  <c r="DS293" i="1"/>
  <c r="DJ292" i="1"/>
  <c r="DI293" i="1"/>
  <c r="GX362" i="1"/>
  <c r="GX361" i="1" s="1"/>
  <c r="GU364" i="1"/>
  <c r="HW367" i="1"/>
  <c r="HW364" i="1" s="1"/>
  <c r="HZ364" i="1"/>
  <c r="HZ362" i="1" s="1"/>
  <c r="HZ361" i="1" s="1"/>
  <c r="HZ11" i="1" s="1"/>
  <c r="CP301" i="1"/>
  <c r="CP293" i="1"/>
  <c r="FG300" i="1"/>
  <c r="FH294" i="1"/>
  <c r="CO298" i="1"/>
  <c r="EH292" i="1"/>
  <c r="EH291" i="1" s="1"/>
  <c r="EG293" i="1"/>
  <c r="EL310" i="1"/>
  <c r="EK310" i="1" s="1"/>
  <c r="H316" i="1"/>
  <c r="EK281" i="1"/>
  <c r="FH287" i="1"/>
  <c r="FK248" i="1"/>
  <c r="FK246" i="1" s="1"/>
  <c r="FH244" i="1"/>
  <c r="FG244" i="1" s="1"/>
  <c r="FH20" i="1"/>
  <c r="FG20" i="1" s="1"/>
  <c r="FH19" i="1"/>
  <c r="FG19" i="1" s="1"/>
  <c r="FG248" i="1"/>
  <c r="FG246" i="1" s="1"/>
  <c r="DF277" i="1"/>
  <c r="DF22" i="1" s="1"/>
  <c r="DG22" i="1"/>
  <c r="FB269" i="1"/>
  <c r="FB285" i="1" s="1"/>
  <c r="EZ274" i="1"/>
  <c r="EZ269" i="1" s="1"/>
  <c r="BE270" i="1"/>
  <c r="BE269" i="1" s="1"/>
  <c r="BF269" i="1"/>
  <c r="ES267" i="1"/>
  <c r="EV263" i="1"/>
  <c r="BZ239" i="1"/>
  <c r="BI236" i="1"/>
  <c r="BH239" i="1"/>
  <c r="BH236" i="1" s="1"/>
  <c r="BE238" i="1"/>
  <c r="BE236" i="1" s="1"/>
  <c r="BF236" i="1"/>
  <c r="BS218" i="1"/>
  <c r="O217" i="1"/>
  <c r="O216" i="1" s="1"/>
  <c r="O213" i="1" s="1"/>
  <c r="I213" i="1"/>
  <c r="HK190" i="1"/>
  <c r="HK189" i="1" s="1"/>
  <c r="CK267" i="1"/>
  <c r="CK263" i="1" s="1"/>
  <c r="CK288" i="1" s="1"/>
  <c r="CK359" i="1" s="1"/>
  <c r="CM263" i="1"/>
  <c r="CM288" i="1" s="1"/>
  <c r="CM359" i="1" s="1"/>
  <c r="G359" i="1"/>
  <c r="G397" i="1" s="1"/>
  <c r="E263" i="1"/>
  <c r="E359" i="1" s="1"/>
  <c r="E397" i="1" s="1"/>
  <c r="FG263" i="1"/>
  <c r="FG288" i="1" s="1"/>
  <c r="HS242" i="1"/>
  <c r="IB242" i="1"/>
  <c r="IA242" i="1" s="1"/>
  <c r="HG232" i="1"/>
  <c r="HH231" i="1"/>
  <c r="HG231" i="1" s="1"/>
  <c r="DQ221" i="1"/>
  <c r="DO221" i="1" s="1"/>
  <c r="DI221" i="1"/>
  <c r="CD216" i="1"/>
  <c r="CB217" i="1"/>
  <c r="HT216" i="1"/>
  <c r="HS217" i="1"/>
  <c r="S285" i="1"/>
  <c r="S355" i="1" s="1"/>
  <c r="DP197" i="1"/>
  <c r="DP175" i="1"/>
  <c r="DO176" i="1"/>
  <c r="CZ197" i="1"/>
  <c r="CZ190" i="1" s="1"/>
  <c r="CZ189" i="1" s="1"/>
  <c r="CZ175" i="1"/>
  <c r="HR153" i="1"/>
  <c r="HN153" i="1"/>
  <c r="S359" i="1"/>
  <c r="S397" i="1" s="1"/>
  <c r="HP119" i="1"/>
  <c r="HO119" i="1" s="1"/>
  <c r="HO120" i="1"/>
  <c r="CK110" i="1"/>
  <c r="CK105" i="1" s="1"/>
  <c r="CL105" i="1"/>
  <c r="EZ44" i="1"/>
  <c r="EZ35" i="1" s="1"/>
  <c r="FA35" i="1"/>
  <c r="DR42" i="1"/>
  <c r="DS40" i="1"/>
  <c r="FL31" i="1"/>
  <c r="F207" i="1"/>
  <c r="F355" i="1" s="1"/>
  <c r="E31" i="1"/>
  <c r="E207" i="1" s="1"/>
  <c r="CY211" i="1"/>
  <c r="CY359" i="1" s="1"/>
  <c r="CW137" i="1"/>
  <c r="CW211" i="1" s="1"/>
  <c r="FA105" i="1"/>
  <c r="EZ105" i="1" s="1"/>
  <c r="DO73" i="1"/>
  <c r="DP35" i="1"/>
  <c r="DP31" i="1" s="1"/>
  <c r="AC47" i="1"/>
  <c r="AC44" i="1" s="1"/>
  <c r="AD44" i="1"/>
  <c r="CI31" i="1"/>
  <c r="CI207" i="1" s="1"/>
  <c r="AL294" i="1"/>
  <c r="GV216" i="1"/>
  <c r="GU217" i="1"/>
  <c r="DX175" i="1"/>
  <c r="DX197" i="1"/>
  <c r="DX190" i="1" s="1"/>
  <c r="DX189" i="1" s="1"/>
  <c r="ER172" i="1"/>
  <c r="EO173" i="1"/>
  <c r="EO172" i="1" s="1"/>
  <c r="P207" i="1"/>
  <c r="ED238" i="1"/>
  <c r="EE236" i="1"/>
  <c r="ED236" i="1" s="1"/>
  <c r="M285" i="1"/>
  <c r="K213" i="1"/>
  <c r="BX397" i="1"/>
  <c r="BX14" i="1" s="1"/>
  <c r="HG198" i="1"/>
  <c r="HH197" i="1"/>
  <c r="HG197" i="1" s="1"/>
  <c r="GU191" i="1"/>
  <c r="GU190" i="1" s="1"/>
  <c r="GU189" i="1" s="1"/>
  <c r="GV190" i="1"/>
  <c r="GV189" i="1" s="1"/>
  <c r="GV18" i="1" s="1"/>
  <c r="DN152" i="1"/>
  <c r="DB211" i="1"/>
  <c r="DB359" i="1" s="1"/>
  <c r="CZ137" i="1"/>
  <c r="HH65" i="1"/>
  <c r="HG67" i="1"/>
  <c r="HP209" i="1"/>
  <c r="HO33" i="1"/>
  <c r="CX31" i="1"/>
  <c r="CW35" i="1"/>
  <c r="CW31" i="1" s="1"/>
  <c r="BH272" i="1"/>
  <c r="BI269" i="1"/>
  <c r="BZ272" i="1"/>
  <c r="CY217" i="1"/>
  <c r="HX197" i="1"/>
  <c r="HK120" i="1"/>
  <c r="HL119" i="1"/>
  <c r="HK119" i="1" s="1"/>
  <c r="BS292" i="1"/>
  <c r="EW224" i="1"/>
  <c r="DS180" i="1"/>
  <c r="HV142" i="1"/>
  <c r="HS142" i="1" s="1"/>
  <c r="DG65" i="1"/>
  <c r="DF65" i="1" s="1"/>
  <c r="DF68" i="1"/>
  <c r="CS397" i="1"/>
  <c r="CS14" i="1" s="1"/>
  <c r="CS29" i="1"/>
  <c r="HW40" i="1"/>
  <c r="HX36" i="1"/>
  <c r="GX207" i="1"/>
  <c r="CY207" i="1"/>
  <c r="FQ356" i="1"/>
  <c r="FQ26" i="1" s="1"/>
  <c r="FQ11" i="1" s="1"/>
  <c r="FQ10" i="1" s="1"/>
  <c r="HS139" i="1"/>
  <c r="HZ139" i="1" s="1"/>
  <c r="HV138" i="1"/>
  <c r="N388" i="1"/>
  <c r="O387" i="1"/>
  <c r="CY364" i="1"/>
  <c r="CN364" i="1"/>
  <c r="CN361" i="1" s="1"/>
  <c r="CN10" i="1" s="1"/>
  <c r="CP361" i="1"/>
  <c r="CP10" i="1" s="1"/>
  <c r="CX310" i="1"/>
  <c r="FG313" i="1"/>
  <c r="HG302" i="1"/>
  <c r="HH293" i="1"/>
  <c r="HH301" i="1"/>
  <c r="HG301" i="1" s="1"/>
  <c r="DR297" i="1"/>
  <c r="DR294" i="1" s="1"/>
  <c r="DS294" i="1"/>
  <c r="CK294" i="1"/>
  <c r="CM292" i="1"/>
  <c r="CM290" i="1" s="1"/>
  <c r="HG346" i="1"/>
  <c r="FH308" i="1"/>
  <c r="FG308" i="1" s="1"/>
  <c r="FG309" i="1"/>
  <c r="CN306" i="1"/>
  <c r="CN304" i="1" s="1"/>
  <c r="CO304" i="1"/>
  <c r="CN302" i="1"/>
  <c r="CO301" i="1"/>
  <c r="DG298" i="1"/>
  <c r="DF298" i="1" s="1"/>
  <c r="DF299" i="1"/>
  <c r="DF293" i="1" s="1"/>
  <c r="DG293" i="1"/>
  <c r="AL299" i="1"/>
  <c r="AR299" i="1"/>
  <c r="AF298" i="1"/>
  <c r="CU269" i="1"/>
  <c r="CT270" i="1"/>
  <c r="CT269" i="1" s="1"/>
  <c r="FH197" i="1"/>
  <c r="FG197" i="1" s="1"/>
  <c r="FG198" i="1"/>
  <c r="HL216" i="1"/>
  <c r="HK217" i="1"/>
  <c r="EO142" i="1"/>
  <c r="EL106" i="1"/>
  <c r="EK120" i="1"/>
  <c r="IB216" i="1"/>
  <c r="IA217" i="1"/>
  <c r="HG146" i="1"/>
  <c r="HJ142" i="1"/>
  <c r="AV29" i="1"/>
  <c r="EH213" i="1"/>
  <c r="EG236" i="1"/>
  <c r="EG213" i="1" s="1"/>
  <c r="EG285" i="1" s="1"/>
  <c r="EN211" i="1"/>
  <c r="EK137" i="1"/>
  <c r="EK211" i="1" s="1"/>
  <c r="EK359" i="1" s="1"/>
  <c r="EK397" i="1" s="1"/>
  <c r="EN208" i="1"/>
  <c r="DS75" i="1"/>
  <c r="DR75" i="1" s="1"/>
  <c r="DR77" i="1"/>
  <c r="DM213" i="1"/>
  <c r="DM285" i="1" s="1"/>
  <c r="DR177" i="1"/>
  <c r="DS176" i="1"/>
  <c r="HT236" i="1"/>
  <c r="HS236" i="1" s="1"/>
  <c r="EN207" i="1"/>
  <c r="HG120" i="1"/>
  <c r="HH119" i="1"/>
  <c r="HG119" i="1" s="1"/>
  <c r="HP59" i="1"/>
  <c r="HO59" i="1" s="1"/>
  <c r="DZ397" i="1"/>
  <c r="DZ14" i="1" s="1"/>
  <c r="DZ29" i="1"/>
  <c r="EK387" i="1"/>
  <c r="EK15" i="1" s="1"/>
  <c r="EL15" i="1"/>
  <c r="HK387" i="1"/>
  <c r="HK15" i="1" s="1"/>
  <c r="HL15" i="1"/>
  <c r="AF364" i="1"/>
  <c r="DO361" i="1"/>
  <c r="DQ11" i="1"/>
  <c r="DO11" i="1" s="1"/>
  <c r="FO346" i="1"/>
  <c r="FO347" i="1" s="1"/>
  <c r="FQ22" i="1"/>
  <c r="FO22" i="1" s="1"/>
  <c r="FG364" i="1"/>
  <c r="FJ362" i="1"/>
  <c r="EN362" i="1"/>
  <c r="EN361" i="1" s="1"/>
  <c r="EK364" i="1"/>
  <c r="HW352" i="1"/>
  <c r="HW23" i="1" s="1"/>
  <c r="HX23" i="1"/>
  <c r="DG323" i="1"/>
  <c r="DG311" i="1" s="1"/>
  <c r="DF311" i="1" s="1"/>
  <c r="DS323" i="1"/>
  <c r="DR323" i="1" s="1"/>
  <c r="DI323" i="1"/>
  <c r="ED296" i="1"/>
  <c r="EE295" i="1"/>
  <c r="ED295" i="1" s="1"/>
  <c r="EE293" i="1"/>
  <c r="HO293" i="1"/>
  <c r="HP292" i="1"/>
  <c r="HP291" i="1" s="1"/>
  <c r="CT364" i="1"/>
  <c r="CT361" i="1" s="1"/>
  <c r="CV361" i="1"/>
  <c r="HK347" i="1"/>
  <c r="HM346" i="1"/>
  <c r="AK298" i="1"/>
  <c r="AK293" i="1"/>
  <c r="FC293" i="1"/>
  <c r="FT293" i="1" s="1"/>
  <c r="FD292" i="1"/>
  <c r="FV292" i="1" s="1"/>
  <c r="X292" i="1"/>
  <c r="W293" i="1"/>
  <c r="FH296" i="1"/>
  <c r="FP295" i="1"/>
  <c r="FO295" i="1" s="1"/>
  <c r="FO296" i="1"/>
  <c r="FP293" i="1"/>
  <c r="K292" i="1"/>
  <c r="ES274" i="1"/>
  <c r="EN274" i="1"/>
  <c r="EV269" i="1"/>
  <c r="EA397" i="1"/>
  <c r="EA14" i="1" s="1"/>
  <c r="EA29" i="1"/>
  <c r="FH242" i="1"/>
  <c r="FG242" i="1" s="1"/>
  <c r="FO242" i="1"/>
  <c r="HW249" i="1"/>
  <c r="HX244" i="1"/>
  <c r="HW244" i="1" s="1"/>
  <c r="HY11" i="1"/>
  <c r="HL190" i="1"/>
  <c r="HL189" i="1" s="1"/>
  <c r="HL17" i="1" s="1"/>
  <c r="HK17" i="1" s="1"/>
  <c r="DF206" i="1"/>
  <c r="DG203" i="1"/>
  <c r="DF203" i="1" s="1"/>
  <c r="EG197" i="1"/>
  <c r="DF175" i="1"/>
  <c r="EG156" i="1"/>
  <c r="EJ152" i="1"/>
  <c r="HN142" i="1"/>
  <c r="HK142" i="1" s="1"/>
  <c r="HK143" i="1"/>
  <c r="DR136" i="1"/>
  <c r="DS110" i="1"/>
  <c r="DR111" i="1"/>
  <c r="GV209" i="1"/>
  <c r="GU33" i="1"/>
  <c r="FO377" i="1"/>
  <c r="FP362" i="1"/>
  <c r="FG375" i="1"/>
  <c r="FJ371" i="1"/>
  <c r="FG371" i="1" s="1"/>
  <c r="FJ374" i="1"/>
  <c r="FG374" i="1" s="1"/>
  <c r="FJ363" i="1"/>
  <c r="HW371" i="1"/>
  <c r="BY364" i="1"/>
  <c r="BY361" i="1" s="1"/>
  <c r="CA361" i="1"/>
  <c r="FO352" i="1"/>
  <c r="FO23" i="1" s="1"/>
  <c r="FP23" i="1"/>
  <c r="GU347" i="1"/>
  <c r="GW346" i="1"/>
  <c r="HQ347" i="1"/>
  <c r="FA310" i="1"/>
  <c r="EZ310" i="1" s="1"/>
  <c r="DJ304" i="1"/>
  <c r="DF304" i="1"/>
  <c r="HO364" i="1"/>
  <c r="HR362" i="1"/>
  <c r="DR387" i="1"/>
  <c r="DS15" i="1"/>
  <c r="DR15" i="1" s="1"/>
  <c r="H388" i="1"/>
  <c r="I387" i="1"/>
  <c r="Z387" i="1"/>
  <c r="AA15" i="1"/>
  <c r="AW388" i="1"/>
  <c r="AY388" i="1"/>
  <c r="HK377" i="1"/>
  <c r="HL362" i="1"/>
  <c r="GU348" i="1"/>
  <c r="HH348" i="1"/>
  <c r="HG348" i="1" s="1"/>
  <c r="ED347" i="1"/>
  <c r="ED23" i="1" s="1"/>
  <c r="ED22" i="1"/>
  <c r="HG367" i="1"/>
  <c r="HJ364" i="1"/>
  <c r="Y364" i="1"/>
  <c r="IB310" i="1"/>
  <c r="EL298" i="1"/>
  <c r="EK298" i="1" s="1"/>
  <c r="EK299" i="1"/>
  <c r="DK396" i="1"/>
  <c r="DI396" i="1" s="1"/>
  <c r="DI361" i="1"/>
  <c r="DK11" i="1"/>
  <c r="DI11" i="1" s="1"/>
  <c r="AZ310" i="1"/>
  <c r="AY310" i="1" s="1"/>
  <c r="AY313" i="1"/>
  <c r="AY311" i="1" s="1"/>
  <c r="EL295" i="1"/>
  <c r="EK295" i="1" s="1"/>
  <c r="EK296" i="1"/>
  <c r="EL293" i="1"/>
  <c r="EL292" i="1" s="1"/>
  <c r="DC294" i="1"/>
  <c r="DC292" i="1" s="1"/>
  <c r="DC291" i="1" s="1"/>
  <c r="DC290" i="1" s="1"/>
  <c r="DC354" i="1" s="1"/>
  <c r="DD292" i="1"/>
  <c r="DD291" i="1" s="1"/>
  <c r="DD290" i="1" s="1"/>
  <c r="DD354" i="1" s="1"/>
  <c r="FG306" i="1"/>
  <c r="FH304" i="1"/>
  <c r="FG304" i="1" s="1"/>
  <c r="FG299" i="1"/>
  <c r="FH298" i="1"/>
  <c r="FG298" i="1" s="1"/>
  <c r="DS298" i="1"/>
  <c r="DR298" i="1" s="1"/>
  <c r="DR299" i="1"/>
  <c r="BD397" i="1"/>
  <c r="BD14" i="1" s="1"/>
  <c r="HU286" i="1"/>
  <c r="HU285" i="1"/>
  <c r="FJ269" i="1"/>
  <c r="FJ286" i="1" s="1"/>
  <c r="FG274" i="1"/>
  <c r="BG267" i="1"/>
  <c r="BE267" i="1" s="1"/>
  <c r="AY267" i="1"/>
  <c r="BL267" i="1" s="1"/>
  <c r="HH269" i="1"/>
  <c r="HG270" i="1"/>
  <c r="HG269" i="1" s="1"/>
  <c r="AR229" i="1"/>
  <c r="AR228" i="1" s="1"/>
  <c r="AL229" i="1"/>
  <c r="EM285" i="1"/>
  <c r="EM286" i="1"/>
  <c r="AZ236" i="1"/>
  <c r="BL236" i="1" s="1"/>
  <c r="BZ217" i="1"/>
  <c r="BZ216" i="1" s="1"/>
  <c r="BY218" i="1"/>
  <c r="BY217" i="1" s="1"/>
  <c r="BY216" i="1" s="1"/>
  <c r="HI356" i="1"/>
  <c r="HI26" i="1" s="1"/>
  <c r="HI11" i="1" s="1"/>
  <c r="HI10" i="1" s="1"/>
  <c r="CJ288" i="1"/>
  <c r="CJ359" i="1" s="1"/>
  <c r="CH263" i="1"/>
  <c r="CH288" i="1" s="1"/>
  <c r="CH359" i="1" s="1"/>
  <c r="HG238" i="1"/>
  <c r="HH227" i="1"/>
  <c r="HG227" i="1" s="1"/>
  <c r="HO227" i="1"/>
  <c r="HP224" i="1"/>
  <c r="HO224" i="1" s="1"/>
  <c r="FH221" i="1"/>
  <c r="FG221" i="1" s="1"/>
  <c r="FO221" i="1"/>
  <c r="DF225" i="1"/>
  <c r="DG224" i="1"/>
  <c r="DF224" i="1" s="1"/>
  <c r="EZ191" i="1"/>
  <c r="CL359" i="1"/>
  <c r="CL187" i="1"/>
  <c r="HL106" i="1"/>
  <c r="CC104" i="1"/>
  <c r="BT104" i="1"/>
  <c r="BH104" i="1"/>
  <c r="X44" i="1"/>
  <c r="W44" i="1" s="1"/>
  <c r="W46" i="1"/>
  <c r="AV42" i="1"/>
  <c r="AW40" i="1"/>
  <c r="AV40" i="1" s="1"/>
  <c r="EL209" i="1"/>
  <c r="EK33" i="1"/>
  <c r="DF40" i="1"/>
  <c r="FH129" i="1"/>
  <c r="FG129" i="1" s="1"/>
  <c r="FG130" i="1"/>
  <c r="HH219" i="1"/>
  <c r="HO219" i="1"/>
  <c r="HP217" i="1"/>
  <c r="J213" i="1"/>
  <c r="HW238" i="1"/>
  <c r="HX236" i="1"/>
  <c r="HW236" i="1" s="1"/>
  <c r="AY218" i="1"/>
  <c r="AW218" i="1"/>
  <c r="AZ217" i="1"/>
  <c r="AZ216" i="1" s="1"/>
  <c r="EL197" i="1"/>
  <c r="EK197" i="1" s="1"/>
  <c r="EK198" i="1"/>
  <c r="DC176" i="1"/>
  <c r="DD175" i="1"/>
  <c r="DD197" i="1"/>
  <c r="DD190" i="1" s="1"/>
  <c r="DD189" i="1" s="1"/>
  <c r="HN169" i="1"/>
  <c r="HR168" i="1"/>
  <c r="HO168" i="1" s="1"/>
  <c r="HO169" i="1"/>
  <c r="ES162" i="1"/>
  <c r="ET158" i="1"/>
  <c r="ES158" i="1" s="1"/>
  <c r="HK139" i="1"/>
  <c r="HN138" i="1"/>
  <c r="AL359" i="1"/>
  <c r="DM105" i="1"/>
  <c r="DL110" i="1"/>
  <c r="DL105" i="1" s="1"/>
  <c r="DS44" i="1"/>
  <c r="DR44" i="1" s="1"/>
  <c r="DR46" i="1"/>
  <c r="HH33" i="1"/>
  <c r="HG37" i="1"/>
  <c r="BS272" i="1"/>
  <c r="BS269" i="1" s="1"/>
  <c r="BT269" i="1"/>
  <c r="AL224" i="1"/>
  <c r="FC217" i="1"/>
  <c r="EC285" i="1"/>
  <c r="EC355" i="1" s="1"/>
  <c r="FH175" i="1"/>
  <c r="HW104" i="1"/>
  <c r="DE288" i="1"/>
  <c r="DE359" i="1" s="1"/>
  <c r="DE285" i="1"/>
  <c r="DE355" i="1" s="1"/>
  <c r="DC263" i="1"/>
  <c r="CK228" i="1"/>
  <c r="CK213" i="1" s="1"/>
  <c r="CL213" i="1"/>
  <c r="CL285" i="1" s="1"/>
  <c r="EZ225" i="1"/>
  <c r="FA224" i="1"/>
  <c r="EZ224" i="1" s="1"/>
  <c r="BZ176" i="1"/>
  <c r="BY176" i="1" s="1"/>
  <c r="DL68" i="1"/>
  <c r="DM65" i="1"/>
  <c r="CL226" i="1"/>
  <c r="CK226" i="1" s="1"/>
  <c r="CH226" i="1"/>
  <c r="CI224" i="1"/>
  <c r="GJ217" i="1" l="1"/>
  <c r="FT217" i="1"/>
  <c r="GL228" i="1"/>
  <c r="FV228" i="1"/>
  <c r="GH285" i="1"/>
  <c r="FZ285" i="1"/>
  <c r="GP285" i="1"/>
  <c r="GJ287" i="1"/>
  <c r="FT287" i="1"/>
  <c r="GJ288" i="1"/>
  <c r="FT288" i="1"/>
  <c r="GB348" i="1"/>
  <c r="FT348" i="1"/>
  <c r="FT244" i="1"/>
  <c r="GJ244" i="1"/>
  <c r="GJ236" i="1"/>
  <c r="FT236" i="1"/>
  <c r="FT279" i="1"/>
  <c r="GJ279" i="1"/>
  <c r="GJ246" i="1"/>
  <c r="FT246" i="1"/>
  <c r="FD214" i="1"/>
  <c r="GL216" i="1"/>
  <c r="FV216" i="1"/>
  <c r="GL287" i="1"/>
  <c r="FV287" i="1"/>
  <c r="FT23" i="1"/>
  <c r="GJ23" i="1"/>
  <c r="GB23" i="1"/>
  <c r="FV244" i="1"/>
  <c r="GL244" i="1"/>
  <c r="FT269" i="1"/>
  <c r="GJ269" i="1"/>
  <c r="FZ286" i="1"/>
  <c r="GP286" i="1"/>
  <c r="GB246" i="1"/>
  <c r="ED361" i="1"/>
  <c r="HO61" i="1"/>
  <c r="HS143" i="1"/>
  <c r="HZ143" i="1" s="1"/>
  <c r="HZ214" i="1" s="1"/>
  <c r="HW214" i="1" s="1"/>
  <c r="EF397" i="1"/>
  <c r="EF14" i="1" s="1"/>
  <c r="IB237" i="1"/>
  <c r="IA237" i="1" s="1"/>
  <c r="FH237" i="1"/>
  <c r="FG237" i="1" s="1"/>
  <c r="FG192" i="1"/>
  <c r="FH214" i="1"/>
  <c r="FG214" i="1" s="1"/>
  <c r="HP245" i="1"/>
  <c r="HO245" i="1" s="1"/>
  <c r="HO246" i="1"/>
  <c r="FG63" i="1"/>
  <c r="FH243" i="1"/>
  <c r="FG243" i="1" s="1"/>
  <c r="ES269" i="1"/>
  <c r="GB310" i="1"/>
  <c r="V392" i="1"/>
  <c r="BQ25" i="1"/>
  <c r="EF10" i="1"/>
  <c r="GJ142" i="1"/>
  <c r="GB288" i="1"/>
  <c r="GB142" i="1"/>
  <c r="DL190" i="1"/>
  <c r="DL189" i="1" s="1"/>
  <c r="T355" i="1"/>
  <c r="T392" i="1" s="1"/>
  <c r="BO10" i="1"/>
  <c r="ET286" i="1"/>
  <c r="AE25" i="1"/>
  <c r="AE394" i="1"/>
  <c r="AE396" i="1" s="1"/>
  <c r="HS106" i="1"/>
  <c r="BS217" i="1"/>
  <c r="BS216" i="1" s="1"/>
  <c r="BS213" i="1" s="1"/>
  <c r="BS285" i="1" s="1"/>
  <c r="BS355" i="1" s="1"/>
  <c r="AE392" i="1"/>
  <c r="AE8" i="1" s="1"/>
  <c r="GJ371" i="1"/>
  <c r="GB371" i="1"/>
  <c r="GP361" i="1"/>
  <c r="GH361" i="1"/>
  <c r="BT217" i="1"/>
  <c r="BT216" i="1" s="1"/>
  <c r="BT213" i="1" s="1"/>
  <c r="BT285" i="1" s="1"/>
  <c r="BT355" i="1" s="1"/>
  <c r="BO25" i="1"/>
  <c r="BX10" i="1"/>
  <c r="AQ392" i="1"/>
  <c r="AQ8" i="1" s="1"/>
  <c r="GL119" i="1"/>
  <c r="HT32" i="1"/>
  <c r="HS32" i="1" s="1"/>
  <c r="ET285" i="1"/>
  <c r="BQ392" i="1"/>
  <c r="BQ8" i="1" s="1"/>
  <c r="O310" i="1"/>
  <c r="N310" i="1" s="1"/>
  <c r="FJ285" i="1"/>
  <c r="FG352" i="1"/>
  <c r="FG23" i="1" s="1"/>
  <c r="IB18" i="1"/>
  <c r="IA18" i="1" s="1"/>
  <c r="DF294" i="1"/>
  <c r="DF292" i="1" s="1"/>
  <c r="BX394" i="1"/>
  <c r="BX396" i="1" s="1"/>
  <c r="Q310" i="1"/>
  <c r="Q290" i="1" s="1"/>
  <c r="BX392" i="1"/>
  <c r="BX8" i="1" s="1"/>
  <c r="EE216" i="1"/>
  <c r="ED216" i="1" s="1"/>
  <c r="ED213" i="1" s="1"/>
  <c r="ED285" i="1" s="1"/>
  <c r="Y290" i="1"/>
  <c r="J285" i="1"/>
  <c r="J355" i="1" s="1"/>
  <c r="W310" i="1"/>
  <c r="DJ31" i="1"/>
  <c r="DJ207" i="1" s="1"/>
  <c r="J359" i="1"/>
  <c r="DH11" i="1"/>
  <c r="DF11" i="1" s="1"/>
  <c r="L290" i="1"/>
  <c r="DS311" i="1"/>
  <c r="DS310" i="1" s="1"/>
  <c r="DR310" i="1" s="1"/>
  <c r="BD394" i="1"/>
  <c r="BD396" i="1" s="1"/>
  <c r="CH290" i="1"/>
  <c r="DR311" i="1"/>
  <c r="IB105" i="1"/>
  <c r="IA105" i="1" s="1"/>
  <c r="AM392" i="1"/>
  <c r="AM8" i="1" s="1"/>
  <c r="BD25" i="1"/>
  <c r="GJ311" i="1"/>
  <c r="BS290" i="1"/>
  <c r="DH137" i="1"/>
  <c r="DH211" i="1" s="1"/>
  <c r="DH359" i="1" s="1"/>
  <c r="HT387" i="1"/>
  <c r="HS387" i="1" s="1"/>
  <c r="HS15" i="1" s="1"/>
  <c r="BD392" i="1"/>
  <c r="BD8" i="1" s="1"/>
  <c r="CV359" i="1"/>
  <c r="CV29" i="1" s="1"/>
  <c r="CV14" i="1" s="1"/>
  <c r="AM10" i="1"/>
  <c r="AR310" i="1"/>
  <c r="GX355" i="1"/>
  <c r="GX394" i="1" s="1"/>
  <c r="AM394" i="1"/>
  <c r="EL269" i="1"/>
  <c r="BM10" i="1"/>
  <c r="FH191" i="1"/>
  <c r="FH190" i="1" s="1"/>
  <c r="FH189" i="1" s="1"/>
  <c r="FH18" i="1" s="1"/>
  <c r="BM25" i="1"/>
  <c r="CV285" i="1"/>
  <c r="BN392" i="1"/>
  <c r="BN8" i="1" s="1"/>
  <c r="AI10" i="1"/>
  <c r="CA137" i="1"/>
  <c r="BY137" i="1" s="1"/>
  <c r="ET106" i="1"/>
  <c r="ET105" i="1" s="1"/>
  <c r="ES105" i="1" s="1"/>
  <c r="DO35" i="1"/>
  <c r="DO31" i="1" s="1"/>
  <c r="DP354" i="1"/>
  <c r="ES120" i="1"/>
  <c r="CB137" i="1"/>
  <c r="CB211" i="1" s="1"/>
  <c r="FD189" i="1"/>
  <c r="FD18" i="1" s="1"/>
  <c r="FV18" i="1" s="1"/>
  <c r="GD119" i="1"/>
  <c r="CD211" i="1"/>
  <c r="CD359" i="1" s="1"/>
  <c r="CD29" i="1" s="1"/>
  <c r="CD14" i="1" s="1"/>
  <c r="CB14" i="1" s="1"/>
  <c r="FD105" i="1"/>
  <c r="FC105" i="1" s="1"/>
  <c r="DO291" i="1"/>
  <c r="BV29" i="1"/>
  <c r="AQ25" i="1"/>
  <c r="BN25" i="1"/>
  <c r="AI25" i="1"/>
  <c r="IA362" i="1"/>
  <c r="P359" i="1"/>
  <c r="P397" i="1" s="1"/>
  <c r="AI394" i="1"/>
  <c r="AI396" i="1" s="1"/>
  <c r="GX356" i="1"/>
  <c r="GX26" i="1" s="1"/>
  <c r="GX11" i="1" s="1"/>
  <c r="GX10" i="1" s="1"/>
  <c r="DH396" i="1"/>
  <c r="DF396" i="1" s="1"/>
  <c r="GB119" i="1"/>
  <c r="FG138" i="1"/>
  <c r="EZ29" i="1"/>
  <c r="AQ394" i="1"/>
  <c r="BJ361" i="1"/>
  <c r="EH35" i="1"/>
  <c r="EG35" i="1" s="1"/>
  <c r="EW291" i="1"/>
  <c r="DH285" i="1"/>
  <c r="EZ11" i="1"/>
  <c r="EL279" i="1"/>
  <c r="EK279" i="1" s="1"/>
  <c r="EH32" i="1"/>
  <c r="EG32" i="1" s="1"/>
  <c r="GL190" i="1"/>
  <c r="FV190" i="1"/>
  <c r="BW392" i="1"/>
  <c r="BW8" i="1" s="1"/>
  <c r="BW394" i="1"/>
  <c r="BW396" i="1" s="1"/>
  <c r="BW25" i="1"/>
  <c r="BW10" i="1"/>
  <c r="DL175" i="1"/>
  <c r="HX224" i="1"/>
  <c r="HW224" i="1" s="1"/>
  <c r="FG269" i="1"/>
  <c r="EH190" i="1"/>
  <c r="EH189" i="1" s="1"/>
  <c r="EH17" i="1" s="1"/>
  <c r="EG17" i="1" s="1"/>
  <c r="L392" i="1"/>
  <c r="DF269" i="1"/>
  <c r="P285" i="1"/>
  <c r="P355" i="1" s="1"/>
  <c r="FV119" i="1"/>
  <c r="CT217" i="1"/>
  <c r="CT216" i="1" s="1"/>
  <c r="CT213" i="1" s="1"/>
  <c r="CT285" i="1" s="1"/>
  <c r="CU216" i="1"/>
  <c r="CU213" i="1" s="1"/>
  <c r="CU285" i="1" s="1"/>
  <c r="CU355" i="1" s="1"/>
  <c r="CU392" i="1" s="1"/>
  <c r="CU8" i="1" s="1"/>
  <c r="FP190" i="1"/>
  <c r="FP189" i="1" s="1"/>
  <c r="FP18" i="1" s="1"/>
  <c r="FP17" i="1" s="1"/>
  <c r="FO17" i="1" s="1"/>
  <c r="EG190" i="1"/>
  <c r="EG189" i="1" s="1"/>
  <c r="HH105" i="1"/>
  <c r="HG105" i="1" s="1"/>
  <c r="HO387" i="1"/>
  <c r="HO15" i="1" s="1"/>
  <c r="DY290" i="1"/>
  <c r="DY354" i="1" s="1"/>
  <c r="FD32" i="1"/>
  <c r="FV32" i="1" s="1"/>
  <c r="CQ31" i="1"/>
  <c r="CQ207" i="1" s="1"/>
  <c r="CQ355" i="1" s="1"/>
  <c r="CQ25" i="1" s="1"/>
  <c r="DA207" i="1"/>
  <c r="EW31" i="1"/>
  <c r="GJ106" i="1"/>
  <c r="FT106" i="1"/>
  <c r="GL106" i="1"/>
  <c r="GD106" i="1"/>
  <c r="GB120" i="1"/>
  <c r="FT120" i="1"/>
  <c r="FV106" i="1"/>
  <c r="GU36" i="1"/>
  <c r="GV32" i="1"/>
  <c r="GU32" i="1" s="1"/>
  <c r="BR25" i="1"/>
  <c r="FP106" i="1"/>
  <c r="FP32" i="1" s="1"/>
  <c r="FP59" i="1"/>
  <c r="FO59" i="1" s="1"/>
  <c r="ES382" i="1"/>
  <c r="CQ290" i="1"/>
  <c r="DP190" i="1"/>
  <c r="DP189" i="1" s="1"/>
  <c r="DP207" i="1" s="1"/>
  <c r="BR10" i="1"/>
  <c r="X213" i="1"/>
  <c r="W213" i="1" s="1"/>
  <c r="ET381" i="1"/>
  <c r="ES381" i="1" s="1"/>
  <c r="ED190" i="1"/>
  <c r="ED189" i="1" s="1"/>
  <c r="FC59" i="1"/>
  <c r="GL59" i="1"/>
  <c r="GD59" i="1"/>
  <c r="FV59" i="1"/>
  <c r="H364" i="1"/>
  <c r="H361" i="1" s="1"/>
  <c r="H397" i="1" s="1"/>
  <c r="J361" i="1"/>
  <c r="GB61" i="1"/>
  <c r="FT61" i="1"/>
  <c r="GJ61" i="1"/>
  <c r="EZ190" i="1"/>
  <c r="EZ189" i="1" s="1"/>
  <c r="HS18" i="1"/>
  <c r="EP17" i="1"/>
  <c r="EO17" i="1" s="1"/>
  <c r="FH61" i="1"/>
  <c r="FH59" i="1" s="1"/>
  <c r="FG59" i="1" s="1"/>
  <c r="GJ310" i="1"/>
  <c r="EO285" i="1"/>
  <c r="FO61" i="1"/>
  <c r="BP392" i="1"/>
  <c r="BP8" i="1" s="1"/>
  <c r="CC290" i="1"/>
  <c r="CB290" i="1" s="1"/>
  <c r="GB269" i="1"/>
  <c r="T290" i="1"/>
  <c r="CZ31" i="1"/>
  <c r="CZ207" i="1" s="1"/>
  <c r="BV216" i="1"/>
  <c r="BV213" i="1" s="1"/>
  <c r="BV285" i="1" s="1"/>
  <c r="BV355" i="1" s="1"/>
  <c r="BV392" i="1" s="1"/>
  <c r="BV8" i="1" s="1"/>
  <c r="CF290" i="1"/>
  <c r="EV137" i="1"/>
  <c r="ES137" i="1" s="1"/>
  <c r="ES211" i="1" s="1"/>
  <c r="ED31" i="1"/>
  <c r="GB287" i="1"/>
  <c r="FC361" i="1"/>
  <c r="DZ355" i="1"/>
  <c r="DZ396" i="1" s="1"/>
  <c r="EE31" i="1"/>
  <c r="GH286" i="1"/>
  <c r="GJ348" i="1"/>
  <c r="EX22" i="1"/>
  <c r="EW277" i="1"/>
  <c r="EW22" i="1" s="1"/>
  <c r="FH120" i="1"/>
  <c r="FG120" i="1" s="1"/>
  <c r="DT219" i="1"/>
  <c r="DR219" i="1" s="1"/>
  <c r="FC228" i="1"/>
  <c r="AF292" i="1"/>
  <c r="AF290" i="1" s="1"/>
  <c r="GB362" i="1"/>
  <c r="GJ362" i="1"/>
  <c r="AS290" i="1"/>
  <c r="BH290" i="1"/>
  <c r="DU291" i="1"/>
  <c r="DW355" i="1"/>
  <c r="DW392" i="1" s="1"/>
  <c r="DW8" i="1" s="1"/>
  <c r="BT290" i="1"/>
  <c r="EU356" i="1"/>
  <c r="EU26" i="1" s="1"/>
  <c r="EU11" i="1" s="1"/>
  <c r="EU10" i="1" s="1"/>
  <c r="AR294" i="1"/>
  <c r="CP292" i="1"/>
  <c r="CP290" i="1" s="1"/>
  <c r="N292" i="1"/>
  <c r="DY207" i="1"/>
  <c r="DA290" i="1"/>
  <c r="DA354" i="1" s="1"/>
  <c r="CT290" i="1"/>
  <c r="EI396" i="1"/>
  <c r="EI392" i="1"/>
  <c r="EW290" i="1"/>
  <c r="EW354" i="1" s="1"/>
  <c r="BE292" i="1"/>
  <c r="BE290" i="1" s="1"/>
  <c r="BY292" i="1"/>
  <c r="BY290" i="1" s="1"/>
  <c r="ES290" i="1"/>
  <c r="ES354" i="1" s="1"/>
  <c r="AV290" i="1"/>
  <c r="AK292" i="1"/>
  <c r="AK290" i="1" s="1"/>
  <c r="DM291" i="1"/>
  <c r="DM290" i="1" s="1"/>
  <c r="DM354" i="1" s="1"/>
  <c r="ES291" i="1"/>
  <c r="DB355" i="1"/>
  <c r="DB394" i="1" s="1"/>
  <c r="CU290" i="1"/>
  <c r="FI392" i="1"/>
  <c r="K290" i="1"/>
  <c r="CN301" i="1"/>
  <c r="GU291" i="1"/>
  <c r="EI394" i="1"/>
  <c r="FL207" i="1"/>
  <c r="FL355" i="1" s="1"/>
  <c r="FL394" i="1" s="1"/>
  <c r="FI394" i="1"/>
  <c r="GD292" i="1"/>
  <c r="GL292" i="1"/>
  <c r="CK292" i="1"/>
  <c r="CK290" i="1" s="1"/>
  <c r="HL290" i="1"/>
  <c r="HK290" i="1" s="1"/>
  <c r="EO290" i="1"/>
  <c r="EO354" i="1" s="1"/>
  <c r="GN356" i="1"/>
  <c r="GB244" i="1"/>
  <c r="BP10" i="1"/>
  <c r="FO120" i="1"/>
  <c r="GV31" i="1"/>
  <c r="GU31" i="1" s="1"/>
  <c r="GU207" i="1" s="1"/>
  <c r="GI10" i="1"/>
  <c r="GI11" i="1"/>
  <c r="EL291" i="1"/>
  <c r="EK291" i="1" s="1"/>
  <c r="EO291" i="1"/>
  <c r="GB295" i="1"/>
  <c r="GJ295" i="1"/>
  <c r="GB293" i="1"/>
  <c r="GJ293" i="1"/>
  <c r="GB236" i="1"/>
  <c r="IB236" i="1"/>
  <c r="IA236" i="1" s="1"/>
  <c r="FI25" i="1"/>
  <c r="FI8" i="1" s="1"/>
  <c r="GJ44" i="1"/>
  <c r="AU25" i="1"/>
  <c r="CK387" i="1"/>
  <c r="CK15" i="1" s="1"/>
  <c r="EM356" i="1"/>
  <c r="EM26" i="1" s="1"/>
  <c r="EM11" i="1" s="1"/>
  <c r="EM10" i="1" s="1"/>
  <c r="EE190" i="1"/>
  <c r="EE189" i="1" s="1"/>
  <c r="EE17" i="1" s="1"/>
  <c r="ED17" i="1" s="1"/>
  <c r="CH31" i="1"/>
  <c r="CH207" i="1" s="1"/>
  <c r="AY290" i="1"/>
  <c r="BF290" i="1"/>
  <c r="AC392" i="1"/>
  <c r="AC8" i="1" s="1"/>
  <c r="AC25" i="1"/>
  <c r="DI137" i="1"/>
  <c r="DI211" i="1" s="1"/>
  <c r="DK207" i="1"/>
  <c r="DK355" i="1" s="1"/>
  <c r="DK25" i="1" s="1"/>
  <c r="ED397" i="1"/>
  <c r="ED14" i="1" s="1"/>
  <c r="HK36" i="1"/>
  <c r="IB32" i="1"/>
  <c r="IB208" i="1" s="1"/>
  <c r="IB35" i="1"/>
  <c r="IA35" i="1" s="1"/>
  <c r="FB355" i="1"/>
  <c r="FB10" i="1" s="1"/>
  <c r="FT44" i="1"/>
  <c r="CL31" i="1"/>
  <c r="CL207" i="1" s="1"/>
  <c r="CL355" i="1" s="1"/>
  <c r="CL25" i="1" s="1"/>
  <c r="EL35" i="1"/>
  <c r="EK35" i="1" s="1"/>
  <c r="HO36" i="1"/>
  <c r="EP207" i="1"/>
  <c r="EP355" i="1" s="1"/>
  <c r="EP394" i="1" s="1"/>
  <c r="HP35" i="1"/>
  <c r="HO35" i="1" s="1"/>
  <c r="CK31" i="1"/>
  <c r="CK207" i="1" s="1"/>
  <c r="EY397" i="1"/>
  <c r="EY14" i="1" s="1"/>
  <c r="FE26" i="1"/>
  <c r="GF26" i="1" s="1"/>
  <c r="GF356" i="1"/>
  <c r="AC394" i="1"/>
  <c r="AC396" i="1" s="1"/>
  <c r="EW213" i="1"/>
  <c r="EW285" i="1" s="1"/>
  <c r="EF394" i="1"/>
  <c r="CQ397" i="1"/>
  <c r="CQ14" i="1" s="1"/>
  <c r="AU394" i="1"/>
  <c r="AU396" i="1" s="1"/>
  <c r="CA285" i="1"/>
  <c r="CR355" i="1"/>
  <c r="CR392" i="1" s="1"/>
  <c r="CR8" i="1" s="1"/>
  <c r="DI31" i="1"/>
  <c r="CS392" i="1"/>
  <c r="CS8" i="1" s="1"/>
  <c r="CS394" i="1"/>
  <c r="CS396" i="1" s="1"/>
  <c r="FD35" i="1"/>
  <c r="GL35" i="1" s="1"/>
  <c r="HW377" i="1"/>
  <c r="AU10" i="1"/>
  <c r="CS25" i="1"/>
  <c r="CJ355" i="1"/>
  <c r="CJ392" i="1" s="1"/>
  <c r="CJ8" i="1" s="1"/>
  <c r="DX31" i="1"/>
  <c r="DX207" i="1" s="1"/>
  <c r="N387" i="1"/>
  <c r="FE355" i="1"/>
  <c r="FX355" i="1" s="1"/>
  <c r="FA190" i="1"/>
  <c r="FA189" i="1" s="1"/>
  <c r="FA17" i="1" s="1"/>
  <c r="EZ17" i="1" s="1"/>
  <c r="EE175" i="1"/>
  <c r="EF396" i="1"/>
  <c r="EY207" i="1"/>
  <c r="EY355" i="1" s="1"/>
  <c r="EW137" i="1"/>
  <c r="EW211" i="1" s="1"/>
  <c r="EW359" i="1" s="1"/>
  <c r="EW397" i="1" s="1"/>
  <c r="EW14" i="1" s="1"/>
  <c r="EF25" i="1"/>
  <c r="G394" i="1"/>
  <c r="G396" i="1" s="1"/>
  <c r="FT125" i="1"/>
  <c r="GJ125" i="1"/>
  <c r="GB125" i="1"/>
  <c r="ET357" i="1"/>
  <c r="ES209" i="1"/>
  <c r="EG209" i="1"/>
  <c r="EH357" i="1"/>
  <c r="HX310" i="1"/>
  <c r="AF217" i="1"/>
  <c r="AF216" i="1" s="1"/>
  <c r="AF213" i="1" s="1"/>
  <c r="AF285" i="1" s="1"/>
  <c r="AF355" i="1" s="1"/>
  <c r="AF25" i="1" s="1"/>
  <c r="AL219" i="1"/>
  <c r="AL217" i="1" s="1"/>
  <c r="AL216" i="1" s="1"/>
  <c r="AL213" i="1" s="1"/>
  <c r="AL285" i="1" s="1"/>
  <c r="AL355" i="1" s="1"/>
  <c r="AR219" i="1"/>
  <c r="AR217" i="1" s="1"/>
  <c r="AR216" i="1" s="1"/>
  <c r="AR213" i="1" s="1"/>
  <c r="AR285" i="1" s="1"/>
  <c r="AR355" i="1" s="1"/>
  <c r="FT156" i="1"/>
  <c r="GB156" i="1"/>
  <c r="GJ156" i="1"/>
  <c r="FC189" i="1"/>
  <c r="GJ190" i="1"/>
  <c r="FT190" i="1"/>
  <c r="GB190" i="1"/>
  <c r="EF392" i="1"/>
  <c r="EF8" i="1" s="1"/>
  <c r="HT31" i="1"/>
  <c r="HT207" i="1" s="1"/>
  <c r="DG35" i="1"/>
  <c r="W51" i="1"/>
  <c r="W211" i="1" s="1"/>
  <c r="AU397" i="1"/>
  <c r="AU14" i="1" s="1"/>
  <c r="ES36" i="1"/>
  <c r="ET35" i="1"/>
  <c r="GH17" i="1"/>
  <c r="FZ17" i="1"/>
  <c r="GP17" i="1"/>
  <c r="FG45" i="1"/>
  <c r="FH44" i="1"/>
  <c r="FG44" i="1" s="1"/>
  <c r="FG41" i="1"/>
  <c r="FH40" i="1"/>
  <c r="HS310" i="1"/>
  <c r="HT291" i="1"/>
  <c r="GJ33" i="1"/>
  <c r="FT33" i="1"/>
  <c r="GB33" i="1"/>
  <c r="GL209" i="1"/>
  <c r="GD209" i="1"/>
  <c r="FV209" i="1"/>
  <c r="FC209" i="1"/>
  <c r="FD357" i="1"/>
  <c r="FV357" i="1" s="1"/>
  <c r="GD36" i="1"/>
  <c r="FV36" i="1"/>
  <c r="GL36" i="1"/>
  <c r="CB111" i="1"/>
  <c r="CF111" i="1" s="1"/>
  <c r="CC110" i="1"/>
  <c r="BZ111" i="1"/>
  <c r="FC224" i="1"/>
  <c r="GB19" i="1"/>
  <c r="GJ19" i="1"/>
  <c r="E285" i="1"/>
  <c r="E355" i="1" s="1"/>
  <c r="AN392" i="1"/>
  <c r="AN8" i="1" s="1"/>
  <c r="EK293" i="1"/>
  <c r="EK292" i="1" s="1"/>
  <c r="H387" i="1"/>
  <c r="FC36" i="1"/>
  <c r="DG292" i="1"/>
  <c r="AJ392" i="1"/>
  <c r="AJ8" i="1" s="1"/>
  <c r="FC152" i="1"/>
  <c r="FZ152" i="1"/>
  <c r="GP152" i="1"/>
  <c r="FH209" i="1"/>
  <c r="FG209" i="1" s="1"/>
  <c r="FG33" i="1"/>
  <c r="FZ12" i="1"/>
  <c r="GH12" i="1"/>
  <c r="GP12" i="1"/>
  <c r="HG45" i="1"/>
  <c r="HH44" i="1"/>
  <c r="HG44" i="1" s="1"/>
  <c r="AN25" i="1"/>
  <c r="AN394" i="1"/>
  <c r="BZ229" i="1"/>
  <c r="BY229" i="1" s="1"/>
  <c r="AA392" i="1"/>
  <c r="AA8" i="1" s="1"/>
  <c r="AA394" i="1"/>
  <c r="AA396" i="1" s="1"/>
  <c r="CV207" i="1"/>
  <c r="CV187" i="1" s="1"/>
  <c r="CT137" i="1"/>
  <c r="CT211" i="1" s="1"/>
  <c r="CT359" i="1" s="1"/>
  <c r="CT29" i="1" s="1"/>
  <c r="AH29" i="1"/>
  <c r="U355" i="1"/>
  <c r="U392" i="1" s="1"/>
  <c r="AB10" i="1"/>
  <c r="CF397" i="1"/>
  <c r="CF14" i="1" s="1"/>
  <c r="BC25" i="1"/>
  <c r="AS397" i="1"/>
  <c r="AS14" i="1" s="1"/>
  <c r="AJ10" i="1"/>
  <c r="CO290" i="1"/>
  <c r="AT394" i="1"/>
  <c r="AT396" i="1" s="1"/>
  <c r="FO156" i="1"/>
  <c r="AB394" i="1"/>
  <c r="AB396" i="1" s="1"/>
  <c r="AS285" i="1"/>
  <c r="AS355" i="1" s="1"/>
  <c r="AS392" i="1" s="1"/>
  <c r="AS8" i="1" s="1"/>
  <c r="AU9" i="1" s="1"/>
  <c r="CN310" i="1"/>
  <c r="AA10" i="1"/>
  <c r="GP137" i="1"/>
  <c r="FR152" i="1"/>
  <c r="FO152" i="1" s="1"/>
  <c r="BA288" i="1"/>
  <c r="BA359" i="1" s="1"/>
  <c r="BA29" i="1" s="1"/>
  <c r="EX355" i="1"/>
  <c r="EX394" i="1" s="1"/>
  <c r="EB207" i="1"/>
  <c r="EB355" i="1" s="1"/>
  <c r="EB392" i="1" s="1"/>
  <c r="EB8" i="1" s="1"/>
  <c r="FJ361" i="1"/>
  <c r="CK285" i="1"/>
  <c r="BF229" i="1"/>
  <c r="BF228" i="1" s="1"/>
  <c r="AB25" i="1"/>
  <c r="BC394" i="1"/>
  <c r="BC396" i="1" s="1"/>
  <c r="AJ394" i="1"/>
  <c r="AJ396" i="1" s="1"/>
  <c r="AT10" i="1"/>
  <c r="Z213" i="1"/>
  <c r="Z285" i="1" s="1"/>
  <c r="Z355" i="1" s="1"/>
  <c r="Z394" i="1" s="1"/>
  <c r="Z396" i="1" s="1"/>
  <c r="BK236" i="1"/>
  <c r="BH229" i="1"/>
  <c r="CX207" i="1"/>
  <c r="BC392" i="1"/>
  <c r="BC8" i="1" s="1"/>
  <c r="DU207" i="1"/>
  <c r="AT392" i="1"/>
  <c r="AT8" i="1" s="1"/>
  <c r="HW332" i="1"/>
  <c r="HY290" i="1"/>
  <c r="EM355" i="1"/>
  <c r="EM394" i="1" s="1"/>
  <c r="AH392" i="1"/>
  <c r="AH8" i="1" s="1"/>
  <c r="AH394" i="1"/>
  <c r="AH396" i="1" s="1"/>
  <c r="AH25" i="1"/>
  <c r="AH10" i="1"/>
  <c r="AZ213" i="1"/>
  <c r="AZ285" i="1" s="1"/>
  <c r="AZ355" i="1" s="1"/>
  <c r="AZ394" i="1" s="1"/>
  <c r="AZ396" i="1" s="1"/>
  <c r="AL387" i="1"/>
  <c r="AL15" i="1" s="1"/>
  <c r="AF15" i="1"/>
  <c r="BH213" i="1"/>
  <c r="AY228" i="1"/>
  <c r="BL228" i="1" s="1"/>
  <c r="ER137" i="1"/>
  <c r="EO137" i="1" s="1"/>
  <c r="CM285" i="1"/>
  <c r="CM355" i="1" s="1"/>
  <c r="CM10" i="1" s="1"/>
  <c r="AZ290" i="1"/>
  <c r="DO218" i="1"/>
  <c r="DQ217" i="1"/>
  <c r="DE396" i="1"/>
  <c r="DE394" i="1"/>
  <c r="DE392" i="1"/>
  <c r="DE8" i="1" s="1"/>
  <c r="DE25" i="1"/>
  <c r="DE10" i="1"/>
  <c r="BL313" i="1"/>
  <c r="W364" i="1"/>
  <c r="W361" i="1" s="1"/>
  <c r="W397" i="1" s="1"/>
  <c r="Y361" i="1"/>
  <c r="HK362" i="1"/>
  <c r="HL361" i="1"/>
  <c r="HK361" i="1" s="1"/>
  <c r="HU347" i="1"/>
  <c r="HQ346" i="1"/>
  <c r="HO347" i="1"/>
  <c r="BB392" i="1"/>
  <c r="BB8" i="1" s="1"/>
  <c r="BB394" i="1"/>
  <c r="BB396" i="1" s="1"/>
  <c r="BB25" i="1"/>
  <c r="BB10" i="1"/>
  <c r="AL298" i="1"/>
  <c r="AL293" i="1"/>
  <c r="AL292" i="1" s="1"/>
  <c r="AL290" i="1" s="1"/>
  <c r="CW364" i="1"/>
  <c r="CW361" i="1" s="1"/>
  <c r="CY361" i="1"/>
  <c r="EK190" i="1"/>
  <c r="EK189" i="1" s="1"/>
  <c r="BE263" i="1"/>
  <c r="BE359" i="1" s="1"/>
  <c r="DB397" i="1"/>
  <c r="DB29" i="1"/>
  <c r="DB14" i="1" s="1"/>
  <c r="CZ14" i="1" s="1"/>
  <c r="M355" i="1"/>
  <c r="K285" i="1"/>
  <c r="K355" i="1" s="1"/>
  <c r="GV213" i="1"/>
  <c r="GU216" i="1"/>
  <c r="GU213" i="1" s="1"/>
  <c r="GU285" i="1" s="1"/>
  <c r="F394" i="1"/>
  <c r="F396" i="1" s="1"/>
  <c r="F392" i="1"/>
  <c r="BY239" i="1"/>
  <c r="BZ236" i="1"/>
  <c r="EG291" i="1"/>
  <c r="EH290" i="1"/>
  <c r="DI292" i="1"/>
  <c r="FG236" i="1"/>
  <c r="Q285" i="1"/>
  <c r="Q355" i="1" s="1"/>
  <c r="FG219" i="1"/>
  <c r="FH217" i="1"/>
  <c r="HX209" i="1"/>
  <c r="HW33" i="1"/>
  <c r="DS191" i="1"/>
  <c r="DR51" i="1"/>
  <c r="DR191" i="1" s="1"/>
  <c r="HW217" i="1"/>
  <c r="HX216" i="1"/>
  <c r="DW397" i="1"/>
  <c r="DW14" i="1" s="1"/>
  <c r="DW29" i="1"/>
  <c r="HR288" i="1"/>
  <c r="HR286" i="1"/>
  <c r="HR285" i="1"/>
  <c r="F290" i="1"/>
  <c r="E310" i="1"/>
  <c r="E290" i="1" s="1"/>
  <c r="HH361" i="1"/>
  <c r="DS213" i="1"/>
  <c r="DS285" i="1" s="1"/>
  <c r="EA197" i="1"/>
  <c r="EA190" i="1" s="1"/>
  <c r="EA189" i="1" s="1"/>
  <c r="EA175" i="1"/>
  <c r="CH397" i="1"/>
  <c r="CH14" i="1" s="1"/>
  <c r="CH29" i="1"/>
  <c r="GU361" i="1"/>
  <c r="BU364" i="1"/>
  <c r="AY364" i="1"/>
  <c r="AY361" i="1" s="1"/>
  <c r="BL364" i="1"/>
  <c r="BL361" i="1" s="1"/>
  <c r="BA361" i="1"/>
  <c r="BA10" i="1" s="1"/>
  <c r="HP208" i="1"/>
  <c r="HO32" i="1"/>
  <c r="CH224" i="1"/>
  <c r="DC285" i="1"/>
  <c r="DC288" i="1"/>
  <c r="DC359" i="1" s="1"/>
  <c r="DC175" i="1"/>
  <c r="DC197" i="1"/>
  <c r="DC190" i="1" s="1"/>
  <c r="DC189" i="1" s="1"/>
  <c r="AW217" i="1"/>
  <c r="AW216" i="1" s="1"/>
  <c r="AW213" i="1" s="1"/>
  <c r="AW285" i="1" s="1"/>
  <c r="AW355" i="1" s="1"/>
  <c r="AV218" i="1"/>
  <c r="AV217" i="1" s="1"/>
  <c r="AV216" i="1" s="1"/>
  <c r="AV213" i="1" s="1"/>
  <c r="AV285" i="1" s="1"/>
  <c r="AV355" i="1" s="1"/>
  <c r="HO217" i="1"/>
  <c r="HP216" i="1"/>
  <c r="FK156" i="1"/>
  <c r="FN152" i="1"/>
  <c r="HK106" i="1"/>
  <c r="HL105" i="1"/>
  <c r="HK105" i="1" s="1"/>
  <c r="HG364" i="1"/>
  <c r="HJ362" i="1"/>
  <c r="HJ361" i="1" s="1"/>
  <c r="DI304" i="1"/>
  <c r="DM304" i="1"/>
  <c r="GW22" i="1"/>
  <c r="GU22" i="1" s="1"/>
  <c r="GU346" i="1"/>
  <c r="GW354" i="1"/>
  <c r="GW355" i="1" s="1"/>
  <c r="GW356" i="1"/>
  <c r="GW26" i="1" s="1"/>
  <c r="GW11" i="1" s="1"/>
  <c r="GW10" i="1" s="1"/>
  <c r="FG363" i="1"/>
  <c r="FJ12" i="1"/>
  <c r="FO362" i="1"/>
  <c r="FP361" i="1"/>
  <c r="FO361" i="1" s="1"/>
  <c r="EG152" i="1"/>
  <c r="EJ137" i="1"/>
  <c r="FH295" i="1"/>
  <c r="FG295" i="1" s="1"/>
  <c r="FG296" i="1"/>
  <c r="FG293" i="1" s="1"/>
  <c r="FH293" i="1"/>
  <c r="FH292" i="1" s="1"/>
  <c r="FC292" i="1"/>
  <c r="FT292" i="1" s="1"/>
  <c r="FD291" i="1"/>
  <c r="FV291" i="1" s="1"/>
  <c r="HM22" i="1"/>
  <c r="HK22" i="1" s="1"/>
  <c r="HM354" i="1"/>
  <c r="HM355" i="1" s="1"/>
  <c r="HM356" i="1"/>
  <c r="HM26" i="1" s="1"/>
  <c r="HM11" i="1" s="1"/>
  <c r="HM10" i="1" s="1"/>
  <c r="HK346" i="1"/>
  <c r="HO291" i="1"/>
  <c r="HP290" i="1"/>
  <c r="DF323" i="1"/>
  <c r="AR364" i="1"/>
  <c r="AR361" i="1" s="1"/>
  <c r="AR397" i="1" s="1"/>
  <c r="AR14" i="1" s="1"/>
  <c r="AL364" i="1"/>
  <c r="AF361" i="1"/>
  <c r="AL361" i="1" s="1"/>
  <c r="AL397" i="1" s="1"/>
  <c r="AL14" i="1" s="1"/>
  <c r="HW362" i="1"/>
  <c r="HX361" i="1"/>
  <c r="HW361" i="1" s="1"/>
  <c r="EL105" i="1"/>
  <c r="EK105" i="1" s="1"/>
  <c r="EK106" i="1"/>
  <c r="BI213" i="1"/>
  <c r="BI285" i="1" s="1"/>
  <c r="BI355" i="1" s="1"/>
  <c r="HH292" i="1"/>
  <c r="HG293" i="1"/>
  <c r="CU397" i="1"/>
  <c r="CU14" i="1" s="1"/>
  <c r="CU29" i="1"/>
  <c r="HS138" i="1"/>
  <c r="EL32" i="1"/>
  <c r="HW143" i="1"/>
  <c r="ID143" i="1" s="1"/>
  <c r="ID214" i="1" s="1"/>
  <c r="IA214" i="1" s="1"/>
  <c r="HZ142" i="1"/>
  <c r="HW142" i="1" s="1"/>
  <c r="HK35" i="1"/>
  <c r="EL190" i="1"/>
  <c r="EL189" i="1" s="1"/>
  <c r="EL17" i="1" s="1"/>
  <c r="EK17" i="1" s="1"/>
  <c r="DI217" i="1"/>
  <c r="BZ269" i="1"/>
  <c r="BY272" i="1"/>
  <c r="BY269" i="1" s="1"/>
  <c r="DK397" i="1"/>
  <c r="DK29" i="1"/>
  <c r="DK14" i="1" s="1"/>
  <c r="DI14" i="1" s="1"/>
  <c r="DI359" i="1"/>
  <c r="HG65" i="1"/>
  <c r="HH36" i="1"/>
  <c r="DL152" i="1"/>
  <c r="DN137" i="1"/>
  <c r="FA31" i="1"/>
  <c r="AF29" i="1"/>
  <c r="HT213" i="1"/>
  <c r="HS216" i="1"/>
  <c r="HS213" i="1" s="1"/>
  <c r="HS285" i="1" s="1"/>
  <c r="FA291" i="1"/>
  <c r="ES263" i="1"/>
  <c r="EV288" i="1"/>
  <c r="EV286" i="1"/>
  <c r="EV285" i="1"/>
  <c r="DV354" i="1"/>
  <c r="DV355" i="1" s="1"/>
  <c r="DU290" i="1"/>
  <c r="DU354" i="1" s="1"/>
  <c r="FG294" i="1"/>
  <c r="DS292" i="1"/>
  <c r="GX359" i="1"/>
  <c r="GX397" i="1" s="1"/>
  <c r="GX29" i="1"/>
  <c r="HH224" i="1"/>
  <c r="HG224" i="1" s="1"/>
  <c r="AY263" i="1"/>
  <c r="FO27" i="1"/>
  <c r="FP12" i="1"/>
  <c r="FO12" i="1" s="1"/>
  <c r="DQ397" i="1"/>
  <c r="DQ29" i="1"/>
  <c r="DQ14" i="1" s="1"/>
  <c r="DO14" i="1" s="1"/>
  <c r="DO359" i="1"/>
  <c r="DF197" i="1"/>
  <c r="DF190" i="1" s="1"/>
  <c r="DF189" i="1" s="1"/>
  <c r="DG190" i="1"/>
  <c r="DG189" i="1" s="1"/>
  <c r="DG17" i="1" s="1"/>
  <c r="DF17" i="1" s="1"/>
  <c r="HW113" i="1"/>
  <c r="HX106" i="1"/>
  <c r="HX32" i="1" s="1"/>
  <c r="N359" i="1"/>
  <c r="N397" i="1" s="1"/>
  <c r="N207" i="1"/>
  <c r="DT221" i="1"/>
  <c r="DR221" i="1" s="1"/>
  <c r="EK216" i="1"/>
  <c r="EK213" i="1" s="1"/>
  <c r="EL213" i="1"/>
  <c r="AK397" i="1"/>
  <c r="AK14" i="1" s="1"/>
  <c r="AK29" i="1"/>
  <c r="CB276" i="1"/>
  <c r="CB269" i="1" s="1"/>
  <c r="CC269" i="1"/>
  <c r="CC285" i="1" s="1"/>
  <c r="J290" i="1"/>
  <c r="H292" i="1"/>
  <c r="HS27" i="1"/>
  <c r="HT12" i="1"/>
  <c r="HS12" i="1" s="1"/>
  <c r="EZ217" i="1"/>
  <c r="FA216" i="1"/>
  <c r="DR162" i="1"/>
  <c r="DT158" i="1"/>
  <c r="DR158" i="1" s="1"/>
  <c r="GV354" i="1"/>
  <c r="GU290" i="1"/>
  <c r="CN293" i="1"/>
  <c r="CN292" i="1" s="1"/>
  <c r="GU362" i="1"/>
  <c r="FK371" i="1"/>
  <c r="FN361" i="1"/>
  <c r="EL357" i="1"/>
  <c r="EK209" i="1"/>
  <c r="CB104" i="1"/>
  <c r="CC35" i="1"/>
  <c r="FJ208" i="1"/>
  <c r="FJ356" i="1" s="1"/>
  <c r="FJ26" i="1" s="1"/>
  <c r="FJ11" i="1" s="1"/>
  <c r="FJ211" i="1"/>
  <c r="FG137" i="1"/>
  <c r="FG211" i="1" s="1"/>
  <c r="FG359" i="1" s="1"/>
  <c r="FG397" i="1" s="1"/>
  <c r="FJ207" i="1"/>
  <c r="CJ397" i="1"/>
  <c r="CJ14" i="1" s="1"/>
  <c r="CJ29" i="1"/>
  <c r="DX397" i="1"/>
  <c r="DX14" i="1" s="1"/>
  <c r="DX29" i="1"/>
  <c r="DL65" i="1"/>
  <c r="DL35" i="1" s="1"/>
  <c r="DL31" i="1" s="1"/>
  <c r="DM35" i="1"/>
  <c r="DM31" i="1" s="1"/>
  <c r="DM207" i="1" s="1"/>
  <c r="EC396" i="1"/>
  <c r="EC394" i="1"/>
  <c r="EC392" i="1"/>
  <c r="EC8" i="1" s="1"/>
  <c r="EC25" i="1"/>
  <c r="EC10" i="1"/>
  <c r="FC216" i="1"/>
  <c r="HK169" i="1"/>
  <c r="HN168" i="1"/>
  <c r="HK168" i="1" s="1"/>
  <c r="BL218" i="1"/>
  <c r="AY217" i="1"/>
  <c r="CL397" i="1"/>
  <c r="CL14" i="1" s="1"/>
  <c r="CL29" i="1"/>
  <c r="IA310" i="1"/>
  <c r="IB291" i="1"/>
  <c r="HR361" i="1"/>
  <c r="HO361" i="1" s="1"/>
  <c r="HO362" i="1"/>
  <c r="GV357" i="1"/>
  <c r="GU209" i="1"/>
  <c r="FO293" i="1"/>
  <c r="FP292" i="1"/>
  <c r="FP291" i="1" s="1"/>
  <c r="DJ310" i="1"/>
  <c r="DI310" i="1" s="1"/>
  <c r="EN359" i="1"/>
  <c r="EN397" i="1" s="1"/>
  <c r="EN29" i="1"/>
  <c r="EH286" i="1"/>
  <c r="EG286" i="1" s="1"/>
  <c r="EH285" i="1"/>
  <c r="HG142" i="1"/>
  <c r="HJ137" i="1"/>
  <c r="HK216" i="1"/>
  <c r="HK213" i="1" s="1"/>
  <c r="HL213" i="1"/>
  <c r="IA361" i="1"/>
  <c r="IB14" i="1"/>
  <c r="HW139" i="1"/>
  <c r="ID139" i="1" s="1"/>
  <c r="HZ138" i="1"/>
  <c r="HX35" i="1"/>
  <c r="HW36" i="1"/>
  <c r="HW197" i="1"/>
  <c r="HW190" i="1" s="1"/>
  <c r="HW189" i="1" s="1"/>
  <c r="HX190" i="1"/>
  <c r="HX189" i="1" s="1"/>
  <c r="HX18" i="1" s="1"/>
  <c r="DI216" i="1"/>
  <c r="DI213" i="1" s="1"/>
  <c r="DI285" i="1" s="1"/>
  <c r="DJ213" i="1"/>
  <c r="DJ285" i="1" s="1"/>
  <c r="HP357" i="1"/>
  <c r="HO209" i="1"/>
  <c r="GU18" i="1"/>
  <c r="GV17" i="1"/>
  <c r="GU17" i="1" s="1"/>
  <c r="CY29" i="1"/>
  <c r="CW359" i="1"/>
  <c r="EZ31" i="1"/>
  <c r="HK153" i="1"/>
  <c r="HN152" i="1"/>
  <c r="HK152" i="1" s="1"/>
  <c r="DO197" i="1"/>
  <c r="DO190" i="1" s="1"/>
  <c r="DO189" i="1" s="1"/>
  <c r="DO175" i="1"/>
  <c r="S394" i="1"/>
  <c r="S396" i="1" s="1"/>
  <c r="S392" i="1"/>
  <c r="CM397" i="1"/>
  <c r="CM14" i="1" s="1"/>
  <c r="CM29" i="1"/>
  <c r="I285" i="1"/>
  <c r="H213" i="1"/>
  <c r="FG287" i="1"/>
  <c r="I310" i="1"/>
  <c r="EU396" i="1"/>
  <c r="EU394" i="1"/>
  <c r="EU392" i="1"/>
  <c r="EU25" i="1"/>
  <c r="EU8" i="1" s="1"/>
  <c r="HG191" i="1"/>
  <c r="HG190" i="1" s="1"/>
  <c r="HG189" i="1" s="1"/>
  <c r="HH190" i="1"/>
  <c r="HH189" i="1" s="1"/>
  <c r="HH18" i="1" s="1"/>
  <c r="FO217" i="1"/>
  <c r="FP216" i="1"/>
  <c r="DF125" i="1"/>
  <c r="DF105" i="1" s="1"/>
  <c r="DG105" i="1"/>
  <c r="DT218" i="1"/>
  <c r="DL218" i="1"/>
  <c r="DN217" i="1"/>
  <c r="DY277" i="1"/>
  <c r="DZ22" i="1"/>
  <c r="HO18" i="1"/>
  <c r="HP17" i="1"/>
  <c r="HO17" i="1" s="1"/>
  <c r="Z397" i="1"/>
  <c r="Z14" i="1" s="1"/>
  <c r="Z29" i="1"/>
  <c r="AG392" i="1"/>
  <c r="AG8" i="1" s="1"/>
  <c r="AG394" i="1"/>
  <c r="AG396" i="1" s="1"/>
  <c r="AG25" i="1"/>
  <c r="AG10" i="1"/>
  <c r="R355" i="1"/>
  <c r="DE397" i="1"/>
  <c r="DE14" i="1" s="1"/>
  <c r="DE29" i="1"/>
  <c r="HH209" i="1"/>
  <c r="HG33" i="1"/>
  <c r="AL29" i="1"/>
  <c r="DD207" i="1"/>
  <c r="DD355" i="1" s="1"/>
  <c r="HG219" i="1"/>
  <c r="HH217" i="1"/>
  <c r="DF35" i="1"/>
  <c r="BS104" i="1"/>
  <c r="AV388" i="1"/>
  <c r="AW387" i="1"/>
  <c r="AK387" i="1"/>
  <c r="AK15" i="1" s="1"/>
  <c r="Z15" i="1"/>
  <c r="DR110" i="1"/>
  <c r="DS105" i="1"/>
  <c r="DR105" i="1" s="1"/>
  <c r="EN269" i="1"/>
  <c r="EK274" i="1"/>
  <c r="EK269" i="1" s="1"/>
  <c r="X290" i="1"/>
  <c r="W292" i="1"/>
  <c r="ED293" i="1"/>
  <c r="EE292" i="1"/>
  <c r="DR176" i="1"/>
  <c r="DS197" i="1"/>
  <c r="DS175" i="1"/>
  <c r="IA216" i="1"/>
  <c r="BA25" i="1"/>
  <c r="AR298" i="1"/>
  <c r="AR293" i="1"/>
  <c r="CW310" i="1"/>
  <c r="CX291" i="1"/>
  <c r="DS203" i="1"/>
  <c r="DR180" i="1"/>
  <c r="DR203" i="1" s="1"/>
  <c r="HL32" i="1"/>
  <c r="CY216" i="1"/>
  <c r="CW217" i="1"/>
  <c r="BG263" i="1"/>
  <c r="BH269" i="1"/>
  <c r="CW207" i="1"/>
  <c r="CZ211" i="1"/>
  <c r="CZ359" i="1" s="1"/>
  <c r="DR40" i="1"/>
  <c r="DS35" i="1"/>
  <c r="HR152" i="1"/>
  <c r="HO153" i="1"/>
  <c r="HV153" i="1" s="1"/>
  <c r="CD213" i="1"/>
  <c r="CB216" i="1"/>
  <c r="CB213" i="1" s="1"/>
  <c r="CK397" i="1"/>
  <c r="CK14" i="1" s="1"/>
  <c r="CK29" i="1"/>
  <c r="O285" i="1"/>
  <c r="N213" i="1"/>
  <c r="CN298" i="1"/>
  <c r="DR293" i="1"/>
  <c r="DR292" i="1" s="1"/>
  <c r="FQ396" i="1"/>
  <c r="FQ394" i="1"/>
  <c r="FQ392" i="1"/>
  <c r="FQ25" i="1"/>
  <c r="FQ8" i="1" s="1"/>
  <c r="IA27" i="1"/>
  <c r="IB12" i="1"/>
  <c r="IA12" i="1" s="1"/>
  <c r="FH236" i="1"/>
  <c r="GU397" i="1"/>
  <c r="DU397" i="1"/>
  <c r="DU14" i="1" s="1"/>
  <c r="DU29" i="1"/>
  <c r="DG216" i="1"/>
  <c r="DF217" i="1"/>
  <c r="HK267" i="1"/>
  <c r="HN263" i="1"/>
  <c r="DF301" i="1"/>
  <c r="DJ301" i="1"/>
  <c r="AK285" i="1"/>
  <c r="AK355" i="1" s="1"/>
  <c r="DR154" i="1"/>
  <c r="DT152" i="1"/>
  <c r="FP35" i="1"/>
  <c r="FO36" i="1"/>
  <c r="HI396" i="1"/>
  <c r="HI394" i="1"/>
  <c r="HI392" i="1"/>
  <c r="HI25" i="1"/>
  <c r="HI8" i="1" s="1"/>
  <c r="AX394" i="1"/>
  <c r="AX396" i="1" s="1"/>
  <c r="AX10" i="1"/>
  <c r="AX397" i="1"/>
  <c r="AX14" i="1" s="1"/>
  <c r="AX392" i="1"/>
  <c r="AX8" i="1" s="1"/>
  <c r="FG377" i="1"/>
  <c r="FH362" i="1"/>
  <c r="GJ216" i="1" l="1"/>
  <c r="FT216" i="1"/>
  <c r="GJ228" i="1"/>
  <c r="FT228" i="1"/>
  <c r="FD286" i="1"/>
  <c r="GL214" i="1"/>
  <c r="FV214" i="1"/>
  <c r="GJ224" i="1"/>
  <c r="FT224" i="1"/>
  <c r="FC214" i="1"/>
  <c r="O290" i="1"/>
  <c r="FG191" i="1"/>
  <c r="FG190" i="1" s="1"/>
  <c r="FG189" i="1" s="1"/>
  <c r="W290" i="1"/>
  <c r="HT208" i="1"/>
  <c r="T394" i="1"/>
  <c r="T396" i="1" s="1"/>
  <c r="ES286" i="1"/>
  <c r="DH207" i="1"/>
  <c r="DH355" i="1" s="1"/>
  <c r="DH10" i="1" s="1"/>
  <c r="IB17" i="1"/>
  <c r="IA17" i="1" s="1"/>
  <c r="EE213" i="1"/>
  <c r="EE285" i="1" s="1"/>
  <c r="CV397" i="1"/>
  <c r="HT15" i="1"/>
  <c r="IB387" i="1"/>
  <c r="IA387" i="1" s="1"/>
  <c r="IA15" i="1" s="1"/>
  <c r="FJ355" i="1"/>
  <c r="FJ394" i="1" s="1"/>
  <c r="EH31" i="1"/>
  <c r="EH207" i="1" s="1"/>
  <c r="J397" i="1"/>
  <c r="CA207" i="1"/>
  <c r="CA355" i="1" s="1"/>
  <c r="CA392" i="1" s="1"/>
  <c r="CA8" i="1" s="1"/>
  <c r="CA211" i="1"/>
  <c r="CA359" i="1" s="1"/>
  <c r="CA29" i="1" s="1"/>
  <c r="CB359" i="1"/>
  <c r="CB397" i="1" s="1"/>
  <c r="BX9" i="1"/>
  <c r="GX25" i="1"/>
  <c r="GX8" i="1" s="1"/>
  <c r="GX396" i="1"/>
  <c r="GX392" i="1"/>
  <c r="DF137" i="1"/>
  <c r="DF211" i="1" s="1"/>
  <c r="BL311" i="1"/>
  <c r="BL310" i="1" s="1"/>
  <c r="BL290" i="1" s="1"/>
  <c r="FV189" i="1"/>
  <c r="CU187" i="1"/>
  <c r="CT187" i="1" s="1"/>
  <c r="CD397" i="1"/>
  <c r="ED207" i="1"/>
  <c r="FO18" i="1"/>
  <c r="GL189" i="1"/>
  <c r="CF216" i="1"/>
  <c r="CF213" i="1" s="1"/>
  <c r="CF285" i="1" s="1"/>
  <c r="CF355" i="1" s="1"/>
  <c r="CF10" i="1" s="1"/>
  <c r="DP355" i="1"/>
  <c r="DP394" i="1" s="1"/>
  <c r="ET32" i="1"/>
  <c r="ET208" i="1" s="1"/>
  <c r="ET356" i="1" s="1"/>
  <c r="ES106" i="1"/>
  <c r="GD189" i="1"/>
  <c r="X285" i="1"/>
  <c r="W285" i="1" s="1"/>
  <c r="W355" i="1" s="1"/>
  <c r="W392" i="1" s="1"/>
  <c r="FV105" i="1"/>
  <c r="GL105" i="1"/>
  <c r="GD105" i="1"/>
  <c r="FH119" i="1"/>
  <c r="FG119" i="1" s="1"/>
  <c r="BV25" i="1"/>
  <c r="FH106" i="1"/>
  <c r="FG106" i="1" s="1"/>
  <c r="GL32" i="1"/>
  <c r="BJ10" i="1"/>
  <c r="BJ392" i="1"/>
  <c r="BJ8" i="1" s="1"/>
  <c r="BJ397" i="1"/>
  <c r="BJ14" i="1" s="1"/>
  <c r="J392" i="1"/>
  <c r="BJ394" i="1"/>
  <c r="BJ396" i="1" s="1"/>
  <c r="FC32" i="1"/>
  <c r="FT32" i="1" s="1"/>
  <c r="J394" i="1"/>
  <c r="J396" i="1" s="1"/>
  <c r="DA355" i="1"/>
  <c r="DA394" i="1" s="1"/>
  <c r="DY355" i="1"/>
  <c r="DY392" i="1" s="1"/>
  <c r="DY8" i="1" s="1"/>
  <c r="FD208" i="1"/>
  <c r="GL208" i="1" s="1"/>
  <c r="FO106" i="1"/>
  <c r="EV208" i="1"/>
  <c r="EV356" i="1" s="1"/>
  <c r="EV26" i="1" s="1"/>
  <c r="EV11" i="1" s="1"/>
  <c r="EV10" i="1" s="1"/>
  <c r="DX290" i="1"/>
  <c r="DX354" i="1" s="1"/>
  <c r="DX355" i="1" s="1"/>
  <c r="DX392" i="1" s="1"/>
  <c r="DX8" i="1" s="1"/>
  <c r="GD32" i="1"/>
  <c r="FG61" i="1"/>
  <c r="EH208" i="1"/>
  <c r="EH356" i="1" s="1"/>
  <c r="FP105" i="1"/>
  <c r="FO105" i="1" s="1"/>
  <c r="GV208" i="1"/>
  <c r="GU208" i="1" s="1"/>
  <c r="EW207" i="1"/>
  <c r="EW355" i="1" s="1"/>
  <c r="EW392" i="1" s="1"/>
  <c r="EW8" i="1" s="1"/>
  <c r="BV394" i="1"/>
  <c r="BV396" i="1" s="1"/>
  <c r="DZ10" i="1"/>
  <c r="EV207" i="1"/>
  <c r="EV355" i="1" s="1"/>
  <c r="EV25" i="1" s="1"/>
  <c r="EV8" i="1" s="1"/>
  <c r="DZ392" i="1"/>
  <c r="DZ8" i="1" s="1"/>
  <c r="EV211" i="1"/>
  <c r="EV359" i="1" s="1"/>
  <c r="EV397" i="1" s="1"/>
  <c r="DZ25" i="1"/>
  <c r="N290" i="1"/>
  <c r="DZ394" i="1"/>
  <c r="CV355" i="1"/>
  <c r="CV394" i="1" s="1"/>
  <c r="EL381" i="1"/>
  <c r="EK381" i="1" s="1"/>
  <c r="ET380" i="1"/>
  <c r="DW25" i="1"/>
  <c r="BV10" i="1"/>
  <c r="EZ207" i="1"/>
  <c r="FT59" i="1"/>
  <c r="GJ59" i="1"/>
  <c r="GB59" i="1"/>
  <c r="GB361" i="1"/>
  <c r="GJ361" i="1"/>
  <c r="DW394" i="1"/>
  <c r="IB213" i="1"/>
  <c r="IB286" i="1" s="1"/>
  <c r="DW10" i="1"/>
  <c r="DW396" i="1"/>
  <c r="EL290" i="1"/>
  <c r="EL354" i="1" s="1"/>
  <c r="AR292" i="1"/>
  <c r="AR290" i="1" s="1"/>
  <c r="DL291" i="1"/>
  <c r="CZ290" i="1"/>
  <c r="CZ354" i="1" s="1"/>
  <c r="CZ355" i="1" s="1"/>
  <c r="CZ394" i="1" s="1"/>
  <c r="FL396" i="1"/>
  <c r="FL25" i="1"/>
  <c r="DL290" i="1"/>
  <c r="DL354" i="1" s="1"/>
  <c r="FL392" i="1"/>
  <c r="FL8" i="1" s="1"/>
  <c r="DB392" i="1"/>
  <c r="DB8" i="1" s="1"/>
  <c r="DB10" i="1"/>
  <c r="DB396" i="1"/>
  <c r="DB25" i="1"/>
  <c r="HL354" i="1"/>
  <c r="HK354" i="1"/>
  <c r="FL10" i="1"/>
  <c r="GU354" i="1"/>
  <c r="GU355" i="1" s="1"/>
  <c r="GN355" i="1"/>
  <c r="IA213" i="1"/>
  <c r="IA285" i="1" s="1"/>
  <c r="FA207" i="1"/>
  <c r="GV207" i="1"/>
  <c r="GD291" i="1"/>
  <c r="GL291" i="1"/>
  <c r="FB396" i="1"/>
  <c r="EE207" i="1"/>
  <c r="GD357" i="1"/>
  <c r="GL357" i="1"/>
  <c r="GB292" i="1"/>
  <c r="GJ292" i="1"/>
  <c r="GB224" i="1"/>
  <c r="IB31" i="1"/>
  <c r="IB207" i="1" s="1"/>
  <c r="FX26" i="1"/>
  <c r="FB25" i="1"/>
  <c r="FB392" i="1"/>
  <c r="FB8" i="1" s="1"/>
  <c r="DI207" i="1"/>
  <c r="CT397" i="1"/>
  <c r="CT207" i="1"/>
  <c r="CT355" i="1" s="1"/>
  <c r="CT25" i="1" s="1"/>
  <c r="CU394" i="1"/>
  <c r="IA32" i="1"/>
  <c r="FB394" i="1"/>
  <c r="DG31" i="1"/>
  <c r="DG207" i="1" s="1"/>
  <c r="CU10" i="1"/>
  <c r="CU396" i="1"/>
  <c r="CU25" i="1"/>
  <c r="HK31" i="1"/>
  <c r="HS31" i="1"/>
  <c r="HP31" i="1"/>
  <c r="HO31" i="1" s="1"/>
  <c r="FD31" i="1"/>
  <c r="FV31" i="1" s="1"/>
  <c r="GD35" i="1"/>
  <c r="CK355" i="1"/>
  <c r="CK10" i="1" s="1"/>
  <c r="FC35" i="1"/>
  <c r="GB35" i="1" s="1"/>
  <c r="FV35" i="1"/>
  <c r="EB396" i="1"/>
  <c r="EA396" i="1" s="1"/>
  <c r="FE392" i="1"/>
  <c r="GF355" i="1"/>
  <c r="AS10" i="1"/>
  <c r="GN26" i="1"/>
  <c r="FE11" i="1"/>
  <c r="GN11" i="1" s="1"/>
  <c r="EM392" i="1"/>
  <c r="CJ25" i="1"/>
  <c r="FC213" i="1"/>
  <c r="FC285" i="1" s="1"/>
  <c r="Z10" i="1"/>
  <c r="FE396" i="1"/>
  <c r="CR10" i="1"/>
  <c r="CR25" i="1"/>
  <c r="CR394" i="1"/>
  <c r="CR396" i="1" s="1"/>
  <c r="CJ394" i="1"/>
  <c r="CJ396" i="1" s="1"/>
  <c r="EL31" i="1"/>
  <c r="EL207" i="1" s="1"/>
  <c r="DS31" i="1"/>
  <c r="DK394" i="1"/>
  <c r="DF31" i="1"/>
  <c r="CJ10" i="1"/>
  <c r="FH357" i="1"/>
  <c r="FG357" i="1" s="1"/>
  <c r="EW29" i="1"/>
  <c r="FE25" i="1"/>
  <c r="FE394" i="1"/>
  <c r="EB25" i="1"/>
  <c r="EY394" i="1"/>
  <c r="EY392" i="1"/>
  <c r="EY8" i="1" s="1"/>
  <c r="EY10" i="1"/>
  <c r="FF208" i="1"/>
  <c r="FZ137" i="1"/>
  <c r="CB110" i="1"/>
  <c r="CC105" i="1"/>
  <c r="CC31" i="1" s="1"/>
  <c r="CC207" i="1" s="1"/>
  <c r="CC355" i="1" s="1"/>
  <c r="FH36" i="1"/>
  <c r="FG40" i="1"/>
  <c r="HW310" i="1"/>
  <c r="HX291" i="1"/>
  <c r="ET27" i="1"/>
  <c r="ES357" i="1"/>
  <c r="FD213" i="1"/>
  <c r="EY396" i="1"/>
  <c r="FT152" i="1"/>
  <c r="GJ152" i="1"/>
  <c r="FT189" i="1"/>
  <c r="GB189" i="1"/>
  <c r="GJ189" i="1"/>
  <c r="EH27" i="1"/>
  <c r="EG357" i="1"/>
  <c r="GB105" i="1"/>
  <c r="GJ105" i="1"/>
  <c r="FT105" i="1"/>
  <c r="FC357" i="1"/>
  <c r="FT357" i="1" s="1"/>
  <c r="FD27" i="1"/>
  <c r="FD12" i="1" s="1"/>
  <c r="FV12" i="1" s="1"/>
  <c r="HT290" i="1"/>
  <c r="HS291" i="1"/>
  <c r="EY25" i="1"/>
  <c r="GJ36" i="1"/>
  <c r="FT36" i="1"/>
  <c r="GB36" i="1"/>
  <c r="BZ110" i="1"/>
  <c r="BY110" i="1" s="1"/>
  <c r="BY111" i="1"/>
  <c r="GJ209" i="1"/>
  <c r="FT209" i="1"/>
  <c r="GB209" i="1"/>
  <c r="ES35" i="1"/>
  <c r="ET31" i="1"/>
  <c r="GD18" i="1"/>
  <c r="GL18" i="1"/>
  <c r="FC18" i="1"/>
  <c r="FT18" i="1" s="1"/>
  <c r="FD17" i="1"/>
  <c r="FV17" i="1" s="1"/>
  <c r="ER211" i="1"/>
  <c r="ER359" i="1" s="1"/>
  <c r="ER397" i="1" s="1"/>
  <c r="ER14" i="1" s="1"/>
  <c r="CL10" i="1"/>
  <c r="EX10" i="1"/>
  <c r="BZ228" i="1"/>
  <c r="BY228" i="1" s="1"/>
  <c r="EP10" i="1"/>
  <c r="DK10" i="1"/>
  <c r="ER207" i="1"/>
  <c r="ER355" i="1" s="1"/>
  <c r="ER396" i="1" s="1"/>
  <c r="EP396" i="1"/>
  <c r="DK392" i="1"/>
  <c r="DK8" i="1" s="1"/>
  <c r="CN290" i="1"/>
  <c r="EP25" i="1"/>
  <c r="EB394" i="1"/>
  <c r="FR137" i="1"/>
  <c r="FO137" i="1" s="1"/>
  <c r="FO211" i="1" s="1"/>
  <c r="FO359" i="1" s="1"/>
  <c r="FO397" i="1" s="1"/>
  <c r="AS394" i="1"/>
  <c r="AS396" i="1" s="1"/>
  <c r="EX396" i="1"/>
  <c r="AZ10" i="1"/>
  <c r="EX25" i="1"/>
  <c r="BE229" i="1"/>
  <c r="U394" i="1"/>
  <c r="U396" i="1" s="1"/>
  <c r="EX392" i="1"/>
  <c r="EX8" i="1" s="1"/>
  <c r="DU355" i="1"/>
  <c r="DU25" i="1" s="1"/>
  <c r="EB10" i="1"/>
  <c r="AS25" i="1"/>
  <c r="CY14" i="1"/>
  <c r="CW14" i="1" s="1"/>
  <c r="Z25" i="1"/>
  <c r="EM396" i="1"/>
  <c r="CQ10" i="1"/>
  <c r="EP392" i="1"/>
  <c r="EP8" i="1" s="1"/>
  <c r="BA397" i="1"/>
  <c r="BA14" i="1" s="1"/>
  <c r="FF207" i="1"/>
  <c r="FF211" i="1"/>
  <c r="FC137" i="1"/>
  <c r="CB285" i="1"/>
  <c r="BW9" i="1"/>
  <c r="AZ25" i="1"/>
  <c r="CL392" i="1"/>
  <c r="CL8" i="1" s="1"/>
  <c r="CT14" i="1"/>
  <c r="BH285" i="1"/>
  <c r="BH355" i="1" s="1"/>
  <c r="BH394" i="1" s="1"/>
  <c r="BH396" i="1" s="1"/>
  <c r="BA392" i="1"/>
  <c r="BA8" i="1" s="1"/>
  <c r="CQ392" i="1"/>
  <c r="CQ8" i="1" s="1"/>
  <c r="CS9" i="1" s="1"/>
  <c r="Z392" i="1"/>
  <c r="Z8" i="1" s="1"/>
  <c r="HG361" i="1"/>
  <c r="DM355" i="1"/>
  <c r="DM25" i="1" s="1"/>
  <c r="AF392" i="1"/>
  <c r="AF8" i="1" s="1"/>
  <c r="AP9" i="1" s="1"/>
  <c r="EM25" i="1"/>
  <c r="EM8" i="1" s="1"/>
  <c r="CQ394" i="1"/>
  <c r="CQ396" i="1" s="1"/>
  <c r="CL394" i="1"/>
  <c r="CL396" i="1" s="1"/>
  <c r="BA394" i="1"/>
  <c r="BA396" i="1" s="1"/>
  <c r="DO207" i="1"/>
  <c r="HY356" i="1"/>
  <c r="HY26" i="1" s="1"/>
  <c r="HY354" i="1"/>
  <c r="HY355" i="1" s="1"/>
  <c r="CM25" i="1"/>
  <c r="CM394" i="1"/>
  <c r="CM396" i="1" s="1"/>
  <c r="CM392" i="1"/>
  <c r="CM8" i="1" s="1"/>
  <c r="AT9" i="1"/>
  <c r="AF397" i="1"/>
  <c r="AF14" i="1" s="1"/>
  <c r="AF394" i="1"/>
  <c r="AF396" i="1" s="1"/>
  <c r="HO152" i="1"/>
  <c r="HR137" i="1"/>
  <c r="E392" i="1"/>
  <c r="E394" i="1"/>
  <c r="E396" i="1" s="1"/>
  <c r="CW291" i="1"/>
  <c r="CX290" i="1"/>
  <c r="DD392" i="1"/>
  <c r="DD8" i="1" s="1"/>
  <c r="DD396" i="1"/>
  <c r="DC396" i="1" s="1"/>
  <c r="DD394" i="1"/>
  <c r="DD10" i="1"/>
  <c r="DD25" i="1"/>
  <c r="HH357" i="1"/>
  <c r="HG209" i="1"/>
  <c r="EZ216" i="1"/>
  <c r="EZ213" i="1" s="1"/>
  <c r="EZ285" i="1" s="1"/>
  <c r="FA213" i="1"/>
  <c r="FA285" i="1" s="1"/>
  <c r="BT392" i="1"/>
  <c r="BT8" i="1" s="1"/>
  <c r="BT25" i="1"/>
  <c r="BT10" i="1"/>
  <c r="DI397" i="1"/>
  <c r="DI29" i="1"/>
  <c r="HP354" i="1"/>
  <c r="HO290" i="1"/>
  <c r="CY396" i="1"/>
  <c r="CW396" i="1" s="1"/>
  <c r="CY11" i="1"/>
  <c r="CW11" i="1" s="1"/>
  <c r="DT137" i="1"/>
  <c r="DR152" i="1"/>
  <c r="DX277" i="1"/>
  <c r="DY22" i="1"/>
  <c r="HG18" i="1"/>
  <c r="HH17" i="1"/>
  <c r="HG17" i="1" s="1"/>
  <c r="EN14" i="1"/>
  <c r="EK14" i="1" s="1"/>
  <c r="EK29" i="1"/>
  <c r="CF104" i="1"/>
  <c r="CF35" i="1" s="1"/>
  <c r="CB35" i="1"/>
  <c r="HN137" i="1"/>
  <c r="AY288" i="1"/>
  <c r="AY359" i="1" s="1"/>
  <c r="BL263" i="1"/>
  <c r="BL288" i="1" s="1"/>
  <c r="BL359" i="1" s="1"/>
  <c r="EZ291" i="1"/>
  <c r="FA290" i="1"/>
  <c r="EJ211" i="1"/>
  <c r="EJ208" i="1"/>
  <c r="EG137" i="1"/>
  <c r="EG211" i="1" s="1"/>
  <c r="EG359" i="1" s="1"/>
  <c r="EG397" i="1" s="1"/>
  <c r="EJ207" i="1"/>
  <c r="EJ355" i="1" s="1"/>
  <c r="HP213" i="1"/>
  <c r="HO216" i="1"/>
  <c r="HO213" i="1" s="1"/>
  <c r="HO285" i="1" s="1"/>
  <c r="DC397" i="1"/>
  <c r="DC14" i="1" s="1"/>
  <c r="DC29" i="1"/>
  <c r="FG217" i="1"/>
  <c r="FH216" i="1"/>
  <c r="GV286" i="1"/>
  <c r="GU286" i="1" s="1"/>
  <c r="GV285" i="1"/>
  <c r="DI301" i="1"/>
  <c r="DM301" i="1"/>
  <c r="DL301" i="1" s="1"/>
  <c r="DR35" i="1"/>
  <c r="DR31" i="1" s="1"/>
  <c r="P394" i="1"/>
  <c r="P396" i="1" s="1"/>
  <c r="P392" i="1"/>
  <c r="HL208" i="1"/>
  <c r="HK32" i="1"/>
  <c r="AV387" i="1"/>
  <c r="AV15" i="1" s="1"/>
  <c r="AW15" i="1"/>
  <c r="AZ387" i="1"/>
  <c r="DH397" i="1"/>
  <c r="DH29" i="1"/>
  <c r="DH14" i="1" s="1"/>
  <c r="DF14" i="1" s="1"/>
  <c r="DF359" i="1"/>
  <c r="FG18" i="1"/>
  <c r="FH17" i="1"/>
  <c r="FG17" i="1" s="1"/>
  <c r="DN216" i="1"/>
  <c r="DL217" i="1"/>
  <c r="HO357" i="1"/>
  <c r="HP27" i="1"/>
  <c r="HX208" i="1"/>
  <c r="HW32" i="1"/>
  <c r="FO291" i="1"/>
  <c r="FP290" i="1"/>
  <c r="FJ10" i="1"/>
  <c r="EL286" i="1"/>
  <c r="EL285" i="1"/>
  <c r="DV396" i="1"/>
  <c r="DV394" i="1"/>
  <c r="DV392" i="1"/>
  <c r="DV8" i="1" s="1"/>
  <c r="DV10" i="1"/>
  <c r="DV25" i="1"/>
  <c r="ES288" i="1"/>
  <c r="ES359" i="1" s="1"/>
  <c r="ES397" i="1" s="1"/>
  <c r="ES285" i="1"/>
  <c r="HH35" i="1"/>
  <c r="HG36" i="1"/>
  <c r="HH32" i="1"/>
  <c r="ID142" i="1"/>
  <c r="IA142" i="1" s="1"/>
  <c r="IA143" i="1"/>
  <c r="DG310" i="1"/>
  <c r="AW394" i="1"/>
  <c r="AW396" i="1" s="1"/>
  <c r="AW392" i="1"/>
  <c r="AW8" i="1" s="1"/>
  <c r="AW25" i="1"/>
  <c r="AW10" i="1"/>
  <c r="EA207" i="1"/>
  <c r="EA355" i="1" s="1"/>
  <c r="HG362" i="1"/>
  <c r="AF10" i="1"/>
  <c r="HX213" i="1"/>
  <c r="HW216" i="1"/>
  <c r="HW213" i="1" s="1"/>
  <c r="HW285" i="1" s="1"/>
  <c r="CI239" i="1"/>
  <c r="BY236" i="1"/>
  <c r="K394" i="1"/>
  <c r="K396" i="1" s="1"/>
  <c r="K392" i="1"/>
  <c r="HO346" i="1"/>
  <c r="HQ22" i="1"/>
  <c r="HO22" i="1" s="1"/>
  <c r="HQ354" i="1"/>
  <c r="HQ355" i="1" s="1"/>
  <c r="HQ356" i="1"/>
  <c r="HQ26" i="1" s="1"/>
  <c r="HQ11" i="1" s="1"/>
  <c r="HQ10" i="1" s="1"/>
  <c r="DO217" i="1"/>
  <c r="DQ216" i="1"/>
  <c r="FG362" i="1"/>
  <c r="FH361" i="1"/>
  <c r="FG361" i="1" s="1"/>
  <c r="FP208" i="1"/>
  <c r="FO32" i="1"/>
  <c r="HN288" i="1"/>
  <c r="HK263" i="1"/>
  <c r="HK288" i="1" s="1"/>
  <c r="HN286" i="1"/>
  <c r="HN285" i="1"/>
  <c r="N285" i="1"/>
  <c r="N355" i="1" s="1"/>
  <c r="O355" i="1"/>
  <c r="CD285" i="1"/>
  <c r="CD355" i="1" s="1"/>
  <c r="CD187" i="1"/>
  <c r="CZ397" i="1"/>
  <c r="CZ29" i="1"/>
  <c r="ED292" i="1"/>
  <c r="EE291" i="1"/>
  <c r="HG217" i="1"/>
  <c r="HH216" i="1"/>
  <c r="DT217" i="1"/>
  <c r="DR218" i="1"/>
  <c r="H310" i="1"/>
  <c r="H290" i="1" s="1"/>
  <c r="I290" i="1"/>
  <c r="HL286" i="1"/>
  <c r="HL285" i="1"/>
  <c r="IA291" i="1"/>
  <c r="IB290" i="1"/>
  <c r="BE228" i="1"/>
  <c r="BE213" i="1" s="1"/>
  <c r="BE285" i="1" s="1"/>
  <c r="BE355" i="1" s="1"/>
  <c r="BF213" i="1"/>
  <c r="BF285" i="1" s="1"/>
  <c r="BF355" i="1" s="1"/>
  <c r="DN211" i="1"/>
  <c r="DN359" i="1" s="1"/>
  <c r="DL137" i="1"/>
  <c r="DL211" i="1" s="1"/>
  <c r="DN207" i="1"/>
  <c r="HM396" i="1"/>
  <c r="HM394" i="1"/>
  <c r="HM392" i="1"/>
  <c r="HM8" i="1" s="1"/>
  <c r="HM25" i="1"/>
  <c r="AK392" i="1"/>
  <c r="AK8" i="1" s="1"/>
  <c r="AK394" i="1"/>
  <c r="AK396" i="1" s="1"/>
  <c r="AK25" i="1"/>
  <c r="AK10" i="1"/>
  <c r="CY213" i="1"/>
  <c r="CY285" i="1" s="1"/>
  <c r="CY355" i="1" s="1"/>
  <c r="CW216" i="1"/>
  <c r="CW213" i="1" s="1"/>
  <c r="CW285" i="1" s="1"/>
  <c r="EN286" i="1"/>
  <c r="EN356" i="1" s="1"/>
  <c r="EN26" i="1" s="1"/>
  <c r="EN11" i="1" s="1"/>
  <c r="EN10" i="1" s="1"/>
  <c r="EN285" i="1"/>
  <c r="EN355" i="1" s="1"/>
  <c r="H285" i="1"/>
  <c r="H355" i="1" s="1"/>
  <c r="I355" i="1"/>
  <c r="CY397" i="1"/>
  <c r="IA139" i="1"/>
  <c r="ID138" i="1"/>
  <c r="GU357" i="1"/>
  <c r="GV27" i="1"/>
  <c r="FJ359" i="1"/>
  <c r="FJ397" i="1" s="1"/>
  <c r="FJ29" i="1"/>
  <c r="EL208" i="1"/>
  <c r="EK32" i="1"/>
  <c r="FH291" i="1"/>
  <c r="FG292" i="1"/>
  <c r="FO292" i="1" s="1"/>
  <c r="AV394" i="1"/>
  <c r="AV396" i="1" s="1"/>
  <c r="AV25" i="1"/>
  <c r="AV10" i="1"/>
  <c r="BS364" i="1"/>
  <c r="BS361" i="1" s="1"/>
  <c r="BS392" i="1" s="1"/>
  <c r="BS8" i="1" s="1"/>
  <c r="BU361" i="1"/>
  <c r="DS190" i="1"/>
  <c r="DS189" i="1" s="1"/>
  <c r="DJ291" i="1"/>
  <c r="Y392" i="1"/>
  <c r="Y394" i="1"/>
  <c r="Y396" i="1" s="1"/>
  <c r="Y397" i="1"/>
  <c r="FO35" i="1"/>
  <c r="DF216" i="1"/>
  <c r="DF213" i="1" s="1"/>
  <c r="DF285" i="1" s="1"/>
  <c r="DG213" i="1"/>
  <c r="DG285" i="1" s="1"/>
  <c r="HS153" i="1"/>
  <c r="HZ153" i="1" s="1"/>
  <c r="HV152" i="1"/>
  <c r="BG359" i="1"/>
  <c r="BG285" i="1"/>
  <c r="BG355" i="1" s="1"/>
  <c r="DR175" i="1"/>
  <c r="DR197" i="1"/>
  <c r="DR190" i="1" s="1"/>
  <c r="DR189" i="1" s="1"/>
  <c r="AL394" i="1"/>
  <c r="AL396" i="1" s="1"/>
  <c r="AL392" i="1"/>
  <c r="AL8" i="1" s="1"/>
  <c r="AL25" i="1"/>
  <c r="AL10" i="1"/>
  <c r="R394" i="1"/>
  <c r="R396" i="1" s="1"/>
  <c r="R392" i="1"/>
  <c r="FP213" i="1"/>
  <c r="FP285" i="1" s="1"/>
  <c r="FO216" i="1"/>
  <c r="FO213" i="1" s="1"/>
  <c r="FO285" i="1" s="1"/>
  <c r="CW397" i="1"/>
  <c r="CW29" i="1"/>
  <c r="HW18" i="1"/>
  <c r="HX17" i="1"/>
  <c r="HW17" i="1" s="1"/>
  <c r="HW35" i="1"/>
  <c r="EO211" i="1"/>
  <c r="EO359" i="1" s="1"/>
  <c r="EO207" i="1"/>
  <c r="EO355" i="1" s="1"/>
  <c r="HJ208" i="1"/>
  <c r="HJ356" i="1" s="1"/>
  <c r="HJ26" i="1" s="1"/>
  <c r="HJ11" i="1" s="1"/>
  <c r="HJ10" i="1" s="1"/>
  <c r="HG137" i="1"/>
  <c r="HG211" i="1" s="1"/>
  <c r="HG359" i="1" s="1"/>
  <c r="HG397" i="1" s="1"/>
  <c r="HJ211" i="1"/>
  <c r="HJ207" i="1"/>
  <c r="HJ355" i="1" s="1"/>
  <c r="BY211" i="1"/>
  <c r="BY359" i="1" s="1"/>
  <c r="BY207" i="1"/>
  <c r="BL217" i="1"/>
  <c r="BL216" i="1" s="1"/>
  <c r="BL213" i="1" s="1"/>
  <c r="AY216" i="1"/>
  <c r="AY213" i="1" s="1"/>
  <c r="AY285" i="1" s="1"/>
  <c r="AY355" i="1" s="1"/>
  <c r="EK357" i="1"/>
  <c r="EL27" i="1"/>
  <c r="FK361" i="1"/>
  <c r="FN11" i="1"/>
  <c r="FK11" i="1" s="1"/>
  <c r="EK285" i="1"/>
  <c r="HW106" i="1"/>
  <c r="HX105" i="1"/>
  <c r="HW105" i="1" s="1"/>
  <c r="DO397" i="1"/>
  <c r="DO29" i="1"/>
  <c r="GX14" i="1"/>
  <c r="GU14" i="1" s="1"/>
  <c r="GU29" i="1"/>
  <c r="DS291" i="1"/>
  <c r="AR394" i="1"/>
  <c r="AR392" i="1"/>
  <c r="AR8" i="1" s="1"/>
  <c r="AR25" i="1"/>
  <c r="AR10" i="1"/>
  <c r="HT286" i="1"/>
  <c r="HS286" i="1" s="1"/>
  <c r="HT285" i="1"/>
  <c r="HL31" i="1"/>
  <c r="HL207" i="1" s="1"/>
  <c r="HH291" i="1"/>
  <c r="HG292" i="1"/>
  <c r="HO292" i="1" s="1"/>
  <c r="BI392" i="1"/>
  <c r="BI8" i="1" s="1"/>
  <c r="BI394" i="1"/>
  <c r="BI396" i="1" s="1"/>
  <c r="BI25" i="1"/>
  <c r="BI10" i="1"/>
  <c r="FC291" i="1"/>
  <c r="FT291" i="1" s="1"/>
  <c r="FD290" i="1"/>
  <c r="FV290" i="1" s="1"/>
  <c r="GW396" i="1"/>
  <c r="GW394" i="1"/>
  <c r="GW392" i="1"/>
  <c r="GW25" i="1"/>
  <c r="GW8" i="1" s="1"/>
  <c r="DP304" i="1"/>
  <c r="DL304" i="1"/>
  <c r="FN137" i="1"/>
  <c r="FK152" i="1"/>
  <c r="DC207" i="1"/>
  <c r="DC355" i="1" s="1"/>
  <c r="HX357" i="1"/>
  <c r="HW209" i="1"/>
  <c r="Q392" i="1"/>
  <c r="Q394" i="1"/>
  <c r="Q396" i="1" s="1"/>
  <c r="EH354" i="1"/>
  <c r="EG354" i="1" s="1"/>
  <c r="EG290" i="1"/>
  <c r="BS25" i="1"/>
  <c r="M392" i="1"/>
  <c r="M394" i="1"/>
  <c r="M396" i="1" s="1"/>
  <c r="BE397" i="1"/>
  <c r="BE14" i="1" s="1"/>
  <c r="BE29" i="1"/>
  <c r="IC347" i="1"/>
  <c r="HS347" i="1"/>
  <c r="HU346" i="1"/>
  <c r="GL286" i="1" l="1"/>
  <c r="FV286" i="1"/>
  <c r="GJ213" i="1"/>
  <c r="FT213" i="1"/>
  <c r="GJ214" i="1"/>
  <c r="FT214" i="1"/>
  <c r="FD285" i="1"/>
  <c r="GL213" i="1"/>
  <c r="FV213" i="1"/>
  <c r="GP211" i="1"/>
  <c r="GP207" i="1"/>
  <c r="CA397" i="1"/>
  <c r="CA14" i="1" s="1"/>
  <c r="IB15" i="1"/>
  <c r="CB29" i="1"/>
  <c r="FJ396" i="1"/>
  <c r="FJ25" i="1"/>
  <c r="FJ8" i="1" s="1"/>
  <c r="FJ392" i="1"/>
  <c r="EG31" i="1"/>
  <c r="EG207" i="1" s="1"/>
  <c r="DH394" i="1"/>
  <c r="DH25" i="1"/>
  <c r="W394" i="1"/>
  <c r="W396" i="1" s="1"/>
  <c r="DP10" i="1"/>
  <c r="DH392" i="1"/>
  <c r="DH8" i="1" s="1"/>
  <c r="DP392" i="1"/>
  <c r="DP8" i="1" s="1"/>
  <c r="CF394" i="1"/>
  <c r="CF396" i="1" s="1"/>
  <c r="CF25" i="1"/>
  <c r="FV208" i="1"/>
  <c r="GB32" i="1"/>
  <c r="DF207" i="1"/>
  <c r="CF392" i="1"/>
  <c r="CF8" i="1" s="1"/>
  <c r="DP396" i="1"/>
  <c r="DP25" i="1"/>
  <c r="ES32" i="1"/>
  <c r="ES208" i="1"/>
  <c r="DY10" i="1"/>
  <c r="X355" i="1"/>
  <c r="X392" i="1" s="1"/>
  <c r="FH105" i="1"/>
  <c r="FG105" i="1" s="1"/>
  <c r="GD208" i="1"/>
  <c r="DA25" i="1"/>
  <c r="DA396" i="1"/>
  <c r="CZ396" i="1" s="1"/>
  <c r="DY25" i="1"/>
  <c r="DY394" i="1"/>
  <c r="GJ32" i="1"/>
  <c r="DZ9" i="1"/>
  <c r="DY396" i="1"/>
  <c r="DX396" i="1" s="1"/>
  <c r="DA392" i="1"/>
  <c r="DA8" i="1" s="1"/>
  <c r="DA10" i="1"/>
  <c r="FP31" i="1"/>
  <c r="FP207" i="1" s="1"/>
  <c r="CV25" i="1"/>
  <c r="EV29" i="1"/>
  <c r="ES29" i="1" s="1"/>
  <c r="CV396" i="1"/>
  <c r="CT396" i="1" s="1"/>
  <c r="CV392" i="1"/>
  <c r="CV8" i="1" s="1"/>
  <c r="IB285" i="1"/>
  <c r="CV10" i="1"/>
  <c r="ES380" i="1"/>
  <c r="EL380" i="1"/>
  <c r="EK380" i="1" s="1"/>
  <c r="ET379" i="1"/>
  <c r="IA31" i="1"/>
  <c r="EK290" i="1"/>
  <c r="EK354" i="1" s="1"/>
  <c r="DU396" i="1"/>
  <c r="FC208" i="1"/>
  <c r="GP208" i="1"/>
  <c r="GV355" i="1"/>
  <c r="GV394" i="1" s="1"/>
  <c r="CZ10" i="1"/>
  <c r="GD290" i="1"/>
  <c r="GL290" i="1"/>
  <c r="FD354" i="1"/>
  <c r="FV354" i="1" s="1"/>
  <c r="GB291" i="1"/>
  <c r="GJ291" i="1"/>
  <c r="CZ392" i="1"/>
  <c r="CZ8" i="1" s="1"/>
  <c r="DB9" i="1" s="1"/>
  <c r="GB357" i="1"/>
  <c r="GJ357" i="1"/>
  <c r="CZ25" i="1"/>
  <c r="CT392" i="1"/>
  <c r="CT8" i="1" s="1"/>
  <c r="CT394" i="1"/>
  <c r="CT10" i="1"/>
  <c r="DS207" i="1"/>
  <c r="HP207" i="1"/>
  <c r="EW10" i="1"/>
  <c r="CK394" i="1"/>
  <c r="CK396" i="1" s="1"/>
  <c r="CK25" i="1"/>
  <c r="EW25" i="1"/>
  <c r="EW394" i="1"/>
  <c r="GD31" i="1"/>
  <c r="FC31" i="1"/>
  <c r="GJ31" i="1" s="1"/>
  <c r="GL31" i="1"/>
  <c r="FD207" i="1"/>
  <c r="GD207" i="1" s="1"/>
  <c r="GJ35" i="1"/>
  <c r="FT35" i="1"/>
  <c r="CK392" i="1"/>
  <c r="CK8" i="1" s="1"/>
  <c r="EK31" i="1"/>
  <c r="EK207" i="1" s="1"/>
  <c r="FX11" i="1"/>
  <c r="FE10" i="1"/>
  <c r="GF10" i="1" s="1"/>
  <c r="GF11" i="1"/>
  <c r="CA25" i="1"/>
  <c r="FH27" i="1"/>
  <c r="FH12" i="1" s="1"/>
  <c r="FG12" i="1" s="1"/>
  <c r="CA394" i="1"/>
  <c r="CA396" i="1" s="1"/>
  <c r="CA10" i="1"/>
  <c r="ER10" i="1"/>
  <c r="EV392" i="1"/>
  <c r="GN25" i="1"/>
  <c r="GF25" i="1"/>
  <c r="FE8" i="1"/>
  <c r="FX25" i="1"/>
  <c r="EY9" i="1"/>
  <c r="EW396" i="1"/>
  <c r="FZ211" i="1"/>
  <c r="CB105" i="1"/>
  <c r="CB31" i="1" s="1"/>
  <c r="CB207" i="1" s="1"/>
  <c r="CB355" i="1" s="1"/>
  <c r="CB25" i="1" s="1"/>
  <c r="CF110" i="1"/>
  <c r="CF105" i="1" s="1"/>
  <c r="FF355" i="1"/>
  <c r="FZ207" i="1"/>
  <c r="HS290" i="1"/>
  <c r="HT354" i="1"/>
  <c r="HT355" i="1" s="1"/>
  <c r="FC17" i="1"/>
  <c r="FT17" i="1" s="1"/>
  <c r="GL17" i="1"/>
  <c r="GD17" i="1"/>
  <c r="GD27" i="1"/>
  <c r="GL27" i="1"/>
  <c r="FV27" i="1"/>
  <c r="FC27" i="1"/>
  <c r="FT27" i="1" s="1"/>
  <c r="EH12" i="1"/>
  <c r="EG12" i="1" s="1"/>
  <c r="EG27" i="1"/>
  <c r="ES27" i="1"/>
  <c r="ET12" i="1"/>
  <c r="ES12" i="1" s="1"/>
  <c r="FG36" i="1"/>
  <c r="FH35" i="1"/>
  <c r="FG35" i="1" s="1"/>
  <c r="FH32" i="1"/>
  <c r="ER394" i="1"/>
  <c r="FR211" i="1"/>
  <c r="FR359" i="1" s="1"/>
  <c r="FR397" i="1" s="1"/>
  <c r="BZ213" i="1"/>
  <c r="BZ285" i="1" s="1"/>
  <c r="BZ355" i="1" s="1"/>
  <c r="BZ10" i="1" s="1"/>
  <c r="FC211" i="1"/>
  <c r="FC359" i="1" s="1"/>
  <c r="FT359" i="1" s="1"/>
  <c r="GJ137" i="1"/>
  <c r="FT137" i="1"/>
  <c r="GB18" i="1"/>
  <c r="GJ18" i="1"/>
  <c r="ET207" i="1"/>
  <c r="ET355" i="1" s="1"/>
  <c r="ET25" i="1" s="1"/>
  <c r="ES31" i="1"/>
  <c r="ES207" i="1" s="1"/>
  <c r="HX290" i="1"/>
  <c r="HW291" i="1"/>
  <c r="FF356" i="1"/>
  <c r="GP356" i="1" s="1"/>
  <c r="FZ208" i="1"/>
  <c r="ER29" i="1"/>
  <c r="DX25" i="1"/>
  <c r="BY213" i="1"/>
  <c r="BY285" i="1" s="1"/>
  <c r="BY355" i="1" s="1"/>
  <c r="BH392" i="1"/>
  <c r="BH8" i="1" s="1"/>
  <c r="BI9" i="1" s="1"/>
  <c r="DU392" i="1"/>
  <c r="DU8" i="1" s="1"/>
  <c r="DW9" i="1" s="1"/>
  <c r="EO396" i="1"/>
  <c r="ER392" i="1"/>
  <c r="ER8" i="1" s="1"/>
  <c r="AG9" i="1"/>
  <c r="DX394" i="1"/>
  <c r="ER25" i="1"/>
  <c r="FR207" i="1"/>
  <c r="FR355" i="1" s="1"/>
  <c r="FR394" i="1" s="1"/>
  <c r="FR208" i="1"/>
  <c r="FR356" i="1" s="1"/>
  <c r="FR26" i="1" s="1"/>
  <c r="FR11" i="1" s="1"/>
  <c r="FR10" i="1" s="1"/>
  <c r="DX10" i="1"/>
  <c r="AH9" i="1"/>
  <c r="DU394" i="1"/>
  <c r="DU10" i="1"/>
  <c r="HL355" i="1"/>
  <c r="HL396" i="1" s="1"/>
  <c r="BH10" i="1"/>
  <c r="EV396" i="1"/>
  <c r="DM394" i="1"/>
  <c r="DM10" i="1"/>
  <c r="EV394" i="1"/>
  <c r="EK286" i="1"/>
  <c r="BH25" i="1"/>
  <c r="DM392" i="1"/>
  <c r="DM8" i="1" s="1"/>
  <c r="DY9" i="1"/>
  <c r="DM396" i="1"/>
  <c r="FF359" i="1"/>
  <c r="HK286" i="1"/>
  <c r="CR9" i="1"/>
  <c r="AA9" i="1"/>
  <c r="AB9" i="1"/>
  <c r="HT356" i="1"/>
  <c r="HT26" i="1" s="1"/>
  <c r="EX9" i="1"/>
  <c r="AR9" i="1"/>
  <c r="AQ9" i="1"/>
  <c r="GV356" i="1"/>
  <c r="GU356" i="1" s="1"/>
  <c r="HY396" i="1"/>
  <c r="HY10" i="1"/>
  <c r="HY394" i="1"/>
  <c r="HY392" i="1"/>
  <c r="HY8" i="1" s="1"/>
  <c r="HY25" i="1"/>
  <c r="BL285" i="1"/>
  <c r="BL355" i="1" s="1"/>
  <c r="BL10" i="1" s="1"/>
  <c r="N394" i="1"/>
  <c r="N396" i="1" s="1"/>
  <c r="N392" i="1"/>
  <c r="DS290" i="1"/>
  <c r="DR291" i="1"/>
  <c r="HJ359" i="1"/>
  <c r="HJ397" i="1" s="1"/>
  <c r="HJ29" i="1"/>
  <c r="EO397" i="1"/>
  <c r="EO14" i="1" s="1"/>
  <c r="EO29" i="1"/>
  <c r="BG394" i="1"/>
  <c r="BG396" i="1" s="1"/>
  <c r="BG392" i="1"/>
  <c r="BG8" i="1" s="1"/>
  <c r="BG25" i="1"/>
  <c r="BG10" i="1"/>
  <c r="HZ152" i="1"/>
  <c r="HW153" i="1"/>
  <c r="ID153" i="1" s="1"/>
  <c r="GU394" i="1"/>
  <c r="GU392" i="1"/>
  <c r="GU25" i="1"/>
  <c r="HH213" i="1"/>
  <c r="HG216" i="1"/>
  <c r="HG213" i="1" s="1"/>
  <c r="HG285" i="1" s="1"/>
  <c r="O392" i="1"/>
  <c r="O394" i="1"/>
  <c r="O396" i="1" s="1"/>
  <c r="CI236" i="1"/>
  <c r="CI213" i="1" s="1"/>
  <c r="CI285" i="1" s="1"/>
  <c r="CI355" i="1" s="1"/>
  <c r="CH239" i="1"/>
  <c r="CH236" i="1" s="1"/>
  <c r="CH213" i="1" s="1"/>
  <c r="CH285" i="1" s="1"/>
  <c r="CH355" i="1" s="1"/>
  <c r="HP12" i="1"/>
  <c r="HO12" i="1" s="1"/>
  <c r="HO27" i="1"/>
  <c r="HL356" i="1"/>
  <c r="HP286" i="1"/>
  <c r="HP285" i="1"/>
  <c r="EJ359" i="1"/>
  <c r="EJ397" i="1" s="1"/>
  <c r="EJ29" i="1"/>
  <c r="DW277" i="1"/>
  <c r="DX22" i="1"/>
  <c r="HG357" i="1"/>
  <c r="HH27" i="1"/>
  <c r="BS10" i="1"/>
  <c r="HW357" i="1"/>
  <c r="HX11" i="1"/>
  <c r="HW11" i="1" s="1"/>
  <c r="HX27" i="1"/>
  <c r="HX31" i="1"/>
  <c r="HX207" i="1" s="1"/>
  <c r="FP286" i="1"/>
  <c r="FO286" i="1" s="1"/>
  <c r="BG397" i="1"/>
  <c r="BG14" i="1" s="1"/>
  <c r="BG29" i="1"/>
  <c r="DI291" i="1"/>
  <c r="DJ290" i="1"/>
  <c r="AV392" i="1"/>
  <c r="AV8" i="1" s="1"/>
  <c r="GU27" i="1"/>
  <c r="GV12" i="1"/>
  <c r="GU12" i="1" s="1"/>
  <c r="EN392" i="1"/>
  <c r="EN394" i="1"/>
  <c r="EN396" i="1"/>
  <c r="EN25" i="1"/>
  <c r="EN8" i="1" s="1"/>
  <c r="DN397" i="1"/>
  <c r="DN29" i="1"/>
  <c r="DN14" i="1" s="1"/>
  <c r="DL14" i="1" s="1"/>
  <c r="DL359" i="1"/>
  <c r="FG216" i="1"/>
  <c r="FG213" i="1" s="1"/>
  <c r="FG285" i="1" s="1"/>
  <c r="FH213" i="1"/>
  <c r="FH285" i="1" s="1"/>
  <c r="EJ396" i="1"/>
  <c r="EJ392" i="1"/>
  <c r="EJ394" i="1"/>
  <c r="EJ25" i="1"/>
  <c r="EJ8" i="1" s="1"/>
  <c r="FA354" i="1"/>
  <c r="FA355" i="1" s="1"/>
  <c r="EZ290" i="1"/>
  <c r="EZ354" i="1" s="1"/>
  <c r="EZ355" i="1" s="1"/>
  <c r="EH355" i="1"/>
  <c r="IC346" i="1"/>
  <c r="IA347" i="1"/>
  <c r="DC394" i="1"/>
  <c r="DC392" i="1"/>
  <c r="DC8" i="1" s="1"/>
  <c r="DE9" i="1" s="1"/>
  <c r="DC10" i="1"/>
  <c r="DC25" i="1"/>
  <c r="DO304" i="1"/>
  <c r="DS304" i="1"/>
  <c r="DR304" i="1" s="1"/>
  <c r="HG291" i="1"/>
  <c r="HH290" i="1"/>
  <c r="EK27" i="1"/>
  <c r="EL12" i="1"/>
  <c r="EK12" i="1" s="1"/>
  <c r="BY397" i="1"/>
  <c r="BY14" i="1" s="1"/>
  <c r="BY29" i="1"/>
  <c r="HW31" i="1"/>
  <c r="FJ14" i="1"/>
  <c r="FG14" i="1" s="1"/>
  <c r="FG29" i="1"/>
  <c r="I392" i="1"/>
  <c r="I394" i="1"/>
  <c r="I396" i="1" s="1"/>
  <c r="CY392" i="1"/>
  <c r="CY8" i="1" s="1"/>
  <c r="CY394" i="1"/>
  <c r="CY25" i="1"/>
  <c r="CY10" i="1"/>
  <c r="BE394" i="1"/>
  <c r="BE396" i="1" s="1"/>
  <c r="BE10" i="1"/>
  <c r="BE25" i="1"/>
  <c r="EE290" i="1"/>
  <c r="ED291" i="1"/>
  <c r="CB187" i="1"/>
  <c r="CA187" i="1"/>
  <c r="BY187" i="1" s="1"/>
  <c r="DQ213" i="1"/>
  <c r="DQ285" i="1" s="1"/>
  <c r="DQ355" i="1" s="1"/>
  <c r="DO216" i="1"/>
  <c r="DO213" i="1" s="1"/>
  <c r="DO285" i="1" s="1"/>
  <c r="DO355" i="1" s="1"/>
  <c r="HQ396" i="1"/>
  <c r="HQ394" i="1"/>
  <c r="HQ392" i="1"/>
  <c r="HQ25" i="1"/>
  <c r="HQ8" i="1" s="1"/>
  <c r="HH31" i="1"/>
  <c r="HG35" i="1"/>
  <c r="DF397" i="1"/>
  <c r="DF29" i="1"/>
  <c r="AY387" i="1"/>
  <c r="AY15" i="1" s="1"/>
  <c r="BL387" i="1"/>
  <c r="BL15" i="1" s="1"/>
  <c r="BF387" i="1"/>
  <c r="BF392" i="1" s="1"/>
  <c r="BF8" i="1" s="1"/>
  <c r="AZ15" i="1"/>
  <c r="AZ392" i="1"/>
  <c r="AZ8" i="1" s="1"/>
  <c r="EL355" i="1"/>
  <c r="HN208" i="1"/>
  <c r="HN356" i="1" s="1"/>
  <c r="HN26" i="1" s="1"/>
  <c r="HN11" i="1" s="1"/>
  <c r="HN10" i="1" s="1"/>
  <c r="HN211" i="1"/>
  <c r="HN359" i="1" s="1"/>
  <c r="HK137" i="1"/>
  <c r="HN207" i="1"/>
  <c r="HN355" i="1" s="1"/>
  <c r="DT211" i="1"/>
  <c r="DT359" i="1" s="1"/>
  <c r="DR137" i="1"/>
  <c r="DR211" i="1" s="1"/>
  <c r="DT207" i="1"/>
  <c r="ES356" i="1"/>
  <c r="ET26" i="1"/>
  <c r="HO354" i="1"/>
  <c r="CW290" i="1"/>
  <c r="CW354" i="1" s="1"/>
  <c r="CW355" i="1" s="1"/>
  <c r="CX354" i="1"/>
  <c r="CX355" i="1" s="1"/>
  <c r="HR211" i="1"/>
  <c r="HR208" i="1"/>
  <c r="HO137" i="1"/>
  <c r="HO211" i="1" s="1"/>
  <c r="HO359" i="1" s="1"/>
  <c r="HO397" i="1" s="1"/>
  <c r="HR207" i="1"/>
  <c r="HR355" i="1" s="1"/>
  <c r="HS346" i="1"/>
  <c r="HU22" i="1"/>
  <c r="HS22" i="1" s="1"/>
  <c r="HU354" i="1"/>
  <c r="HU356" i="1"/>
  <c r="HU26" i="1" s="1"/>
  <c r="HU11" i="1" s="1"/>
  <c r="HU10" i="1" s="1"/>
  <c r="FN211" i="1"/>
  <c r="FN359" i="1" s="1"/>
  <c r="FK137" i="1"/>
  <c r="FN207" i="1"/>
  <c r="FN355" i="1" s="1"/>
  <c r="CC396" i="1"/>
  <c r="CC394" i="1"/>
  <c r="CC392" i="1"/>
  <c r="CC8" i="1" s="1"/>
  <c r="CC25" i="1"/>
  <c r="CC10" i="1"/>
  <c r="IA286" i="1"/>
  <c r="IB356" i="1"/>
  <c r="DT216" i="1"/>
  <c r="DR217" i="1"/>
  <c r="HX286" i="1"/>
  <c r="HW286" i="1" s="1"/>
  <c r="HX285" i="1"/>
  <c r="HH208" i="1"/>
  <c r="HG32" i="1"/>
  <c r="AY397" i="1"/>
  <c r="AY14" i="1" s="1"/>
  <c r="AY29" i="1"/>
  <c r="HK285" i="1"/>
  <c r="EH26" i="1"/>
  <c r="FG291" i="1"/>
  <c r="FH290" i="1"/>
  <c r="BF394" i="1"/>
  <c r="BF396" i="1" s="1"/>
  <c r="BF25" i="1"/>
  <c r="BF10" i="1"/>
  <c r="DL207" i="1"/>
  <c r="FC290" i="1"/>
  <c r="FT290" i="1" s="1"/>
  <c r="AY394" i="1"/>
  <c r="AY396" i="1" s="1"/>
  <c r="AY25" i="1"/>
  <c r="AY10" i="1"/>
  <c r="HJ394" i="1"/>
  <c r="HJ396" i="1"/>
  <c r="HJ392" i="1"/>
  <c r="HJ25" i="1"/>
  <c r="HJ8" i="1" s="1"/>
  <c r="EO392" i="1"/>
  <c r="EO8" i="1" s="1"/>
  <c r="EP9" i="1" s="1"/>
  <c r="EO394" i="1"/>
  <c r="EO25" i="1"/>
  <c r="EO10" i="1"/>
  <c r="HS152" i="1"/>
  <c r="HV137" i="1"/>
  <c r="BU10" i="1"/>
  <c r="BU392" i="1"/>
  <c r="BU8" i="1" s="1"/>
  <c r="EL356" i="1"/>
  <c r="EK208" i="1"/>
  <c r="IA138" i="1"/>
  <c r="H394" i="1"/>
  <c r="H396" i="1" s="1"/>
  <c r="H392" i="1"/>
  <c r="IB354" i="1"/>
  <c r="IA290" i="1"/>
  <c r="CD396" i="1"/>
  <c r="CD392" i="1"/>
  <c r="CD8" i="1" s="1"/>
  <c r="CD394" i="1"/>
  <c r="CD25" i="1"/>
  <c r="CD10" i="1"/>
  <c r="EA394" i="1"/>
  <c r="EA392" i="1"/>
  <c r="EA8" i="1" s="1"/>
  <c r="EA10" i="1"/>
  <c r="EA25" i="1"/>
  <c r="DF310" i="1"/>
  <c r="DG291" i="1"/>
  <c r="FP354" i="1"/>
  <c r="FO354" i="1" s="1"/>
  <c r="FO290" i="1"/>
  <c r="DN213" i="1"/>
  <c r="DN285" i="1" s="1"/>
  <c r="DN355" i="1" s="1"/>
  <c r="DL216" i="1"/>
  <c r="DL213" i="1" s="1"/>
  <c r="DL285" i="1" s="1"/>
  <c r="EJ356" i="1"/>
  <c r="EJ26" i="1" s="1"/>
  <c r="EJ11" i="1" s="1"/>
  <c r="EJ10" i="1" s="1"/>
  <c r="EG208" i="1"/>
  <c r="BL397" i="1"/>
  <c r="BL14" i="1" s="1"/>
  <c r="BL29" i="1"/>
  <c r="GL285" i="1" l="1"/>
  <c r="FV285" i="1"/>
  <c r="GJ285" i="1"/>
  <c r="FT285" i="1"/>
  <c r="X394" i="1"/>
  <c r="X396" i="1" s="1"/>
  <c r="FO31" i="1"/>
  <c r="FO207" i="1" s="1"/>
  <c r="EV14" i="1"/>
  <c r="ES14" i="1" s="1"/>
  <c r="FT208" i="1"/>
  <c r="CV9" i="1"/>
  <c r="ET377" i="1"/>
  <c r="ES379" i="1"/>
  <c r="EL379" i="1"/>
  <c r="GJ208" i="1"/>
  <c r="FD356" i="1"/>
  <c r="FV356" i="1" s="1"/>
  <c r="FF29" i="1"/>
  <c r="FZ29" i="1" s="1"/>
  <c r="GP359" i="1"/>
  <c r="GV392" i="1"/>
  <c r="GV25" i="1"/>
  <c r="GV8" i="1" s="1"/>
  <c r="GU8" i="1" s="1"/>
  <c r="GX9" i="1" s="1"/>
  <c r="GV396" i="1"/>
  <c r="GU396" i="1" s="1"/>
  <c r="FF392" i="1"/>
  <c r="GP355" i="1"/>
  <c r="FX10" i="1"/>
  <c r="GL354" i="1"/>
  <c r="FC354" i="1"/>
  <c r="GB290" i="1"/>
  <c r="GJ290" i="1"/>
  <c r="DA9" i="1"/>
  <c r="GN10" i="1"/>
  <c r="CU9" i="1"/>
  <c r="FR29" i="1"/>
  <c r="FR14" i="1" s="1"/>
  <c r="FO14" i="1" s="1"/>
  <c r="HP355" i="1"/>
  <c r="HP394" i="1" s="1"/>
  <c r="FG27" i="1"/>
  <c r="GB31" i="1"/>
  <c r="GL207" i="1"/>
  <c r="FT31" i="1"/>
  <c r="FC207" i="1"/>
  <c r="FT207" i="1" s="1"/>
  <c r="FV207" i="1"/>
  <c r="FC286" i="1"/>
  <c r="GD354" i="1"/>
  <c r="FF397" i="1"/>
  <c r="FF26" i="1"/>
  <c r="FF11" i="1" s="1"/>
  <c r="FF396" i="1"/>
  <c r="BZ25" i="1"/>
  <c r="HO207" i="1"/>
  <c r="HO355" i="1" s="1"/>
  <c r="HO392" i="1" s="1"/>
  <c r="BZ392" i="1"/>
  <c r="BZ8" i="1" s="1"/>
  <c r="BP9" i="1"/>
  <c r="FX8" i="1"/>
  <c r="GF8" i="1"/>
  <c r="GN8" i="1"/>
  <c r="FF25" i="1"/>
  <c r="FF8" i="1" s="1"/>
  <c r="HT25" i="1"/>
  <c r="HT8" i="1" s="1"/>
  <c r="HT394" i="1"/>
  <c r="HT392" i="1"/>
  <c r="HT396" i="1"/>
  <c r="BZ394" i="1"/>
  <c r="BZ396" i="1" s="1"/>
  <c r="ES355" i="1"/>
  <c r="ES25" i="1" s="1"/>
  <c r="FF394" i="1"/>
  <c r="HX354" i="1"/>
  <c r="HX355" i="1" s="1"/>
  <c r="HW290" i="1"/>
  <c r="HW354" i="1" s="1"/>
  <c r="FH208" i="1"/>
  <c r="FG208" i="1" s="1"/>
  <c r="FG32" i="1"/>
  <c r="FC12" i="1"/>
  <c r="FT12" i="1" s="1"/>
  <c r="GL12" i="1"/>
  <c r="GD12" i="1"/>
  <c r="FR392" i="1"/>
  <c r="FH31" i="1"/>
  <c r="FH207" i="1" s="1"/>
  <c r="FT211" i="1"/>
  <c r="GJ211" i="1"/>
  <c r="GB27" i="1"/>
  <c r="GJ17" i="1"/>
  <c r="GB17" i="1"/>
  <c r="CB10" i="1"/>
  <c r="BM9" i="1"/>
  <c r="BS9" i="1"/>
  <c r="CB392" i="1"/>
  <c r="CB8" i="1" s="1"/>
  <c r="CF9" i="1" s="1"/>
  <c r="BJ9" i="1"/>
  <c r="GV26" i="1"/>
  <c r="GV11" i="1" s="1"/>
  <c r="FO208" i="1"/>
  <c r="FR396" i="1"/>
  <c r="DV9" i="1"/>
  <c r="CB394" i="1"/>
  <c r="FR25" i="1"/>
  <c r="FR8" i="1" s="1"/>
  <c r="HL25" i="1"/>
  <c r="HX356" i="1"/>
  <c r="HX26" i="1" s="1"/>
  <c r="HL394" i="1"/>
  <c r="BL394" i="1"/>
  <c r="BL396" i="1" s="1"/>
  <c r="HL392" i="1"/>
  <c r="HL8" i="1" s="1"/>
  <c r="DR207" i="1"/>
  <c r="DL355" i="1"/>
  <c r="DL394" i="1" s="1"/>
  <c r="CB396" i="1"/>
  <c r="FP356" i="1"/>
  <c r="FP26" i="1" s="1"/>
  <c r="BL25" i="1"/>
  <c r="ER9" i="1"/>
  <c r="AY392" i="1"/>
  <c r="AY8" i="1" s="1"/>
  <c r="BA9" i="1" s="1"/>
  <c r="CW394" i="1"/>
  <c r="CW392" i="1"/>
  <c r="CW8" i="1" s="1"/>
  <c r="CY9" i="1" s="1"/>
  <c r="CW25" i="1"/>
  <c r="CW10" i="1"/>
  <c r="FN396" i="1"/>
  <c r="FK396" i="1" s="1"/>
  <c r="FN392" i="1"/>
  <c r="FN8" i="1" s="1"/>
  <c r="FN394" i="1"/>
  <c r="FN25" i="1"/>
  <c r="FN10" i="1"/>
  <c r="HR394" i="1"/>
  <c r="HR396" i="1"/>
  <c r="HR392" i="1"/>
  <c r="HR25" i="1"/>
  <c r="HR8" i="1" s="1"/>
  <c r="HN396" i="1"/>
  <c r="HK396" i="1" s="1"/>
  <c r="HN394" i="1"/>
  <c r="HN392" i="1"/>
  <c r="HN8" i="1" s="1"/>
  <c r="HN25" i="1"/>
  <c r="EE354" i="1"/>
  <c r="EE355" i="1" s="1"/>
  <c r="ED290" i="1"/>
  <c r="ED354" i="1" s="1"/>
  <c r="ED355" i="1" s="1"/>
  <c r="HH354" i="1"/>
  <c r="HG290" i="1"/>
  <c r="HG354" i="1" s="1"/>
  <c r="HW152" i="1"/>
  <c r="HZ137" i="1"/>
  <c r="EB9" i="1"/>
  <c r="EC9" i="1"/>
  <c r="DN394" i="1"/>
  <c r="DN396" i="1"/>
  <c r="DL396" i="1" s="1"/>
  <c r="DN392" i="1"/>
  <c r="DN8" i="1" s="1"/>
  <c r="DN9" i="1" s="1"/>
  <c r="DN25" i="1"/>
  <c r="DN10" i="1"/>
  <c r="BY394" i="1"/>
  <c r="BY396" i="1" s="1"/>
  <c r="BY392" i="1"/>
  <c r="BY8" i="1" s="1"/>
  <c r="BY25" i="1"/>
  <c r="BY10" i="1"/>
  <c r="HT11" i="1"/>
  <c r="IC22" i="1"/>
  <c r="IA22" i="1" s="1"/>
  <c r="IC356" i="1"/>
  <c r="IC26" i="1" s="1"/>
  <c r="IC11" i="1" s="1"/>
  <c r="IC10" i="1" s="1"/>
  <c r="IC354" i="1"/>
  <c r="IC355" i="1" s="1"/>
  <c r="IA346" i="1"/>
  <c r="DJ354" i="1"/>
  <c r="DJ355" i="1" s="1"/>
  <c r="DI290" i="1"/>
  <c r="DI354" i="1" s="1"/>
  <c r="DI355" i="1" s="1"/>
  <c r="HW27" i="1"/>
  <c r="HX12" i="1"/>
  <c r="HW12" i="1" s="1"/>
  <c r="CH392" i="1"/>
  <c r="CH8" i="1" s="1"/>
  <c r="CJ9" i="1" s="1"/>
  <c r="CH394" i="1"/>
  <c r="CH396" i="1" s="1"/>
  <c r="CH25" i="1"/>
  <c r="CH10" i="1"/>
  <c r="FH354" i="1"/>
  <c r="FG290" i="1"/>
  <c r="EG26" i="1"/>
  <c r="EH11" i="1"/>
  <c r="FD355" i="1"/>
  <c r="FV355" i="1" s="1"/>
  <c r="FN397" i="1"/>
  <c r="FN29" i="1"/>
  <c r="FN14" i="1" s="1"/>
  <c r="HR356" i="1"/>
  <c r="HR26" i="1" s="1"/>
  <c r="HR11" i="1" s="1"/>
  <c r="HR10" i="1" s="1"/>
  <c r="HO208" i="1"/>
  <c r="HN397" i="1"/>
  <c r="HN29" i="1"/>
  <c r="HN14" i="1" s="1"/>
  <c r="HH207" i="1"/>
  <c r="HG31" i="1"/>
  <c r="HG207" i="1" s="1"/>
  <c r="DD9" i="1"/>
  <c r="FA396" i="1"/>
  <c r="EZ396" i="1" s="1"/>
  <c r="FA394" i="1"/>
  <c r="FA392" i="1"/>
  <c r="FA8" i="1" s="1"/>
  <c r="FA25" i="1"/>
  <c r="FA10" i="1"/>
  <c r="DH9" i="1"/>
  <c r="DV277" i="1"/>
  <c r="DW22" i="1"/>
  <c r="HO286" i="1"/>
  <c r="HP356" i="1"/>
  <c r="CI394" i="1"/>
  <c r="CI396" i="1" s="1"/>
  <c r="CI392" i="1"/>
  <c r="CI8" i="1" s="1"/>
  <c r="CI10" i="1"/>
  <c r="CI25" i="1"/>
  <c r="HH286" i="1"/>
  <c r="HG286" i="1" s="1"/>
  <c r="HH285" i="1"/>
  <c r="DS354" i="1"/>
  <c r="DS355" i="1" s="1"/>
  <c r="DR290" i="1"/>
  <c r="DR354" i="1" s="1"/>
  <c r="IB355" i="1"/>
  <c r="FP355" i="1"/>
  <c r="DT213" i="1"/>
  <c r="DT285" i="1" s="1"/>
  <c r="DT355" i="1" s="1"/>
  <c r="DR216" i="1"/>
  <c r="DR213" i="1" s="1"/>
  <c r="DR285" i="1" s="1"/>
  <c r="HU355" i="1"/>
  <c r="HS354" i="1"/>
  <c r="CX394" i="1"/>
  <c r="CX392" i="1"/>
  <c r="CX8" i="1" s="1"/>
  <c r="CX25" i="1"/>
  <c r="CX10" i="1"/>
  <c r="EK355" i="1"/>
  <c r="EL25" i="1"/>
  <c r="DQ396" i="1"/>
  <c r="DO396" i="1" s="1"/>
  <c r="DQ392" i="1"/>
  <c r="DQ8" i="1" s="1"/>
  <c r="DQ394" i="1"/>
  <c r="DQ25" i="1"/>
  <c r="DQ10" i="1"/>
  <c r="HK356" i="1"/>
  <c r="HL26" i="1"/>
  <c r="DG290" i="1"/>
  <c r="DF291" i="1"/>
  <c r="HV211" i="1"/>
  <c r="HV208" i="1"/>
  <c r="HS137" i="1"/>
  <c r="HV207" i="1"/>
  <c r="HV355" i="1" s="1"/>
  <c r="FK211" i="1"/>
  <c r="FK359" i="1" s="1"/>
  <c r="FK207" i="1"/>
  <c r="FK355" i="1" s="1"/>
  <c r="HK211" i="1"/>
  <c r="HK359" i="1" s="1"/>
  <c r="HK207" i="1"/>
  <c r="HK355" i="1" s="1"/>
  <c r="EZ394" i="1"/>
  <c r="EZ392" i="1"/>
  <c r="EZ8" i="1" s="1"/>
  <c r="FB9" i="1" s="1"/>
  <c r="EZ10" i="1"/>
  <c r="EZ25" i="1"/>
  <c r="HG27" i="1"/>
  <c r="HH12" i="1"/>
  <c r="HG12" i="1" s="1"/>
  <c r="EK356" i="1"/>
  <c r="EL26" i="1"/>
  <c r="EG356" i="1"/>
  <c r="HG208" i="1"/>
  <c r="IB26" i="1"/>
  <c r="HR359" i="1"/>
  <c r="HR397" i="1" s="1"/>
  <c r="HR29" i="1"/>
  <c r="ES26" i="1"/>
  <c r="DT397" i="1"/>
  <c r="DT29" i="1"/>
  <c r="DT14" i="1" s="1"/>
  <c r="DR14" i="1" s="1"/>
  <c r="DR359" i="1"/>
  <c r="BE387" i="1"/>
  <c r="BF15" i="1"/>
  <c r="DO394" i="1"/>
  <c r="DO392" i="1"/>
  <c r="DO8" i="1" s="1"/>
  <c r="DO25" i="1"/>
  <c r="DO10" i="1"/>
  <c r="EH396" i="1"/>
  <c r="EG396" i="1" s="1"/>
  <c r="EH394" i="1"/>
  <c r="EH392" i="1"/>
  <c r="EG355" i="1"/>
  <c r="EH25" i="1"/>
  <c r="EH8" i="1" s="1"/>
  <c r="FH286" i="1"/>
  <c r="FG286" i="1" s="1"/>
  <c r="DL397" i="1"/>
  <c r="DL29" i="1"/>
  <c r="EJ14" i="1"/>
  <c r="EG14" i="1" s="1"/>
  <c r="EG29" i="1"/>
  <c r="HK208" i="1"/>
  <c r="IA153" i="1"/>
  <c r="ID152" i="1"/>
  <c r="HJ14" i="1"/>
  <c r="HG14" i="1" s="1"/>
  <c r="HG29" i="1"/>
  <c r="BL392" i="1"/>
  <c r="BL8" i="1" s="1"/>
  <c r="GB354" i="1" l="1"/>
  <c r="FT354" i="1"/>
  <c r="GJ286" i="1"/>
  <c r="FT286" i="1"/>
  <c r="FC29" i="1"/>
  <c r="FT29" i="1" s="1"/>
  <c r="FF14" i="1"/>
  <c r="FC14" i="1" s="1"/>
  <c r="FT14" i="1" s="1"/>
  <c r="GP29" i="1"/>
  <c r="FC356" i="1"/>
  <c r="FT356" i="1" s="1"/>
  <c r="GL356" i="1"/>
  <c r="EK379" i="1"/>
  <c r="EL377" i="1"/>
  <c r="ES377" i="1"/>
  <c r="ET362" i="1"/>
  <c r="FD26" i="1"/>
  <c r="FD11" i="1" s="1"/>
  <c r="FV11" i="1" s="1"/>
  <c r="GL355" i="1"/>
  <c r="GJ354" i="1"/>
  <c r="GJ359" i="1"/>
  <c r="HP25" i="1"/>
  <c r="HO25" i="1" s="1"/>
  <c r="HP392" i="1"/>
  <c r="FZ26" i="1"/>
  <c r="FO29" i="1"/>
  <c r="HP396" i="1"/>
  <c r="HO396" i="1" s="1"/>
  <c r="GJ207" i="1"/>
  <c r="FC355" i="1"/>
  <c r="FT355" i="1" s="1"/>
  <c r="GP26" i="1"/>
  <c r="FC397" i="1"/>
  <c r="HO394" i="1"/>
  <c r="CD9" i="1"/>
  <c r="GU26" i="1"/>
  <c r="FG31" i="1"/>
  <c r="FG207" i="1" s="1"/>
  <c r="CC9" i="1"/>
  <c r="FZ25" i="1"/>
  <c r="GP25" i="1"/>
  <c r="GJ12" i="1"/>
  <c r="GB12" i="1"/>
  <c r="GP8" i="1"/>
  <c r="FZ8" i="1"/>
  <c r="FF10" i="1"/>
  <c r="FZ11" i="1"/>
  <c r="GP11" i="1"/>
  <c r="DR355" i="1"/>
  <c r="DR392" i="1" s="1"/>
  <c r="DR8" i="1" s="1"/>
  <c r="DL392" i="1"/>
  <c r="DL8" i="1" s="1"/>
  <c r="CX9" i="1"/>
  <c r="IA354" i="1"/>
  <c r="CI9" i="1"/>
  <c r="DL25" i="1"/>
  <c r="DL10" i="1"/>
  <c r="FO356" i="1"/>
  <c r="AZ9" i="1"/>
  <c r="HR14" i="1"/>
  <c r="HO14" i="1" s="1"/>
  <c r="HO29" i="1"/>
  <c r="DT396" i="1"/>
  <c r="DT392" i="1"/>
  <c r="DT8" i="1" s="1"/>
  <c r="DT9" i="1" s="1"/>
  <c r="DT394" i="1"/>
  <c r="DT10" i="1"/>
  <c r="DT25" i="1"/>
  <c r="EG11" i="1"/>
  <c r="EH10" i="1"/>
  <c r="EG10" i="1" s="1"/>
  <c r="DI392" i="1"/>
  <c r="DI8" i="1" s="1"/>
  <c r="DK9" i="1" s="1"/>
  <c r="DI394" i="1"/>
  <c r="DI25" i="1"/>
  <c r="DI10" i="1"/>
  <c r="HT10" i="1"/>
  <c r="FH355" i="1"/>
  <c r="HX396" i="1"/>
  <c r="HX394" i="1"/>
  <c r="HX392" i="1"/>
  <c r="HX8" i="1" s="1"/>
  <c r="HX10" i="1"/>
  <c r="HX25" i="1"/>
  <c r="DG354" i="1"/>
  <c r="DG355" i="1" s="1"/>
  <c r="DF290" i="1"/>
  <c r="DF354" i="1" s="1"/>
  <c r="DF355" i="1" s="1"/>
  <c r="HH355" i="1"/>
  <c r="DJ394" i="1"/>
  <c r="DJ392" i="1"/>
  <c r="DJ8" i="1" s="1"/>
  <c r="DJ25" i="1"/>
  <c r="DJ10" i="1"/>
  <c r="HZ211" i="1"/>
  <c r="HZ359" i="1" s="1"/>
  <c r="HW137" i="1"/>
  <c r="HZ208" i="1"/>
  <c r="HZ207" i="1"/>
  <c r="HZ355" i="1" s="1"/>
  <c r="ED394" i="1"/>
  <c r="ED392" i="1"/>
  <c r="ED8" i="1" s="1"/>
  <c r="EF9" i="1" s="1"/>
  <c r="ED10" i="1"/>
  <c r="ED25" i="1"/>
  <c r="IA152" i="1"/>
  <c r="ID137" i="1"/>
  <c r="BE15" i="1"/>
  <c r="BE392" i="1"/>
  <c r="BE8" i="1" s="1"/>
  <c r="HH356" i="1"/>
  <c r="EK26" i="1"/>
  <c r="HK392" i="1"/>
  <c r="HK8" i="1" s="1"/>
  <c r="HL9" i="1" s="1"/>
  <c r="HK394" i="1"/>
  <c r="HK10" i="1"/>
  <c r="HK25" i="1"/>
  <c r="FK397" i="1"/>
  <c r="FK29" i="1"/>
  <c r="FK14" i="1" s="1"/>
  <c r="HV356" i="1"/>
  <c r="HS208" i="1"/>
  <c r="GV9" i="1"/>
  <c r="DQ9" i="1"/>
  <c r="HU396" i="1"/>
  <c r="HU394" i="1"/>
  <c r="HU392" i="1"/>
  <c r="HU25" i="1"/>
  <c r="HU8" i="1" s="1"/>
  <c r="IB396" i="1"/>
  <c r="IB394" i="1"/>
  <c r="IB392" i="1"/>
  <c r="IB25" i="1"/>
  <c r="IB8" i="1" s="1"/>
  <c r="DU277" i="1"/>
  <c r="DU22" i="1" s="1"/>
  <c r="DV22" i="1"/>
  <c r="EE396" i="1"/>
  <c r="ED396" i="1" s="1"/>
  <c r="EE394" i="1"/>
  <c r="EE392" i="1"/>
  <c r="EE8" i="1" s="1"/>
  <c r="EE10" i="1"/>
  <c r="EE25" i="1"/>
  <c r="EG392" i="1"/>
  <c r="EG394" i="1"/>
  <c r="EG25" i="1"/>
  <c r="HV394" i="1"/>
  <c r="HV396" i="1"/>
  <c r="HS396" i="1" s="1"/>
  <c r="HV392" i="1"/>
  <c r="HV25" i="1"/>
  <c r="HV8" i="1" s="1"/>
  <c r="GU11" i="1"/>
  <c r="GV10" i="1"/>
  <c r="GU10" i="1" s="1"/>
  <c r="FK394" i="1"/>
  <c r="FK392" i="1"/>
  <c r="FK8" i="1" s="1"/>
  <c r="FL9" i="1" s="1"/>
  <c r="FK10" i="1"/>
  <c r="FK25" i="1"/>
  <c r="HS211" i="1"/>
  <c r="HS359" i="1" s="1"/>
  <c r="HS397" i="1" s="1"/>
  <c r="HS207" i="1"/>
  <c r="HS355" i="1" s="1"/>
  <c r="HK26" i="1"/>
  <c r="HL11" i="1"/>
  <c r="EK25" i="1"/>
  <c r="FP396" i="1"/>
  <c r="FO396" i="1" s="1"/>
  <c r="FP392" i="1"/>
  <c r="FP394" i="1"/>
  <c r="FO355" i="1"/>
  <c r="FP25" i="1"/>
  <c r="FP8" i="1" s="1"/>
  <c r="EG8" i="1"/>
  <c r="EJ9" i="1" s="1"/>
  <c r="DR397" i="1"/>
  <c r="DR29" i="1"/>
  <c r="IB11" i="1"/>
  <c r="HK397" i="1"/>
  <c r="HK29" i="1"/>
  <c r="HK14" i="1" s="1"/>
  <c r="HV359" i="1"/>
  <c r="HV397" i="1" s="1"/>
  <c r="HV29" i="1"/>
  <c r="DS394" i="1"/>
  <c r="DS392" i="1"/>
  <c r="DS8" i="1" s="1"/>
  <c r="DS396" i="1"/>
  <c r="DS10" i="1"/>
  <c r="DS25" i="1"/>
  <c r="HO356" i="1"/>
  <c r="HP26" i="1"/>
  <c r="FA9" i="1"/>
  <c r="FD394" i="1"/>
  <c r="FD392" i="1"/>
  <c r="FD396" i="1"/>
  <c r="FC396" i="1" s="1"/>
  <c r="FD25" i="1"/>
  <c r="FH356" i="1"/>
  <c r="FG354" i="1"/>
  <c r="IC396" i="1"/>
  <c r="IC394" i="1"/>
  <c r="IC392" i="1"/>
  <c r="IC25" i="1"/>
  <c r="IC8" i="1" s="1"/>
  <c r="FO26" i="1"/>
  <c r="FP11" i="1"/>
  <c r="GP14" i="1" l="1"/>
  <c r="FZ14" i="1"/>
  <c r="GJ356" i="1"/>
  <c r="FC26" i="1"/>
  <c r="FT26" i="1" s="1"/>
  <c r="FV26" i="1"/>
  <c r="GL26" i="1"/>
  <c r="EK377" i="1"/>
  <c r="EL362" i="1"/>
  <c r="ES362" i="1"/>
  <c r="ET11" i="1"/>
  <c r="ET361" i="1"/>
  <c r="HP8" i="1"/>
  <c r="HO8" i="1" s="1"/>
  <c r="HR9" i="1" s="1"/>
  <c r="FC392" i="1"/>
  <c r="GJ355" i="1"/>
  <c r="FC25" i="1"/>
  <c r="FC394" i="1"/>
  <c r="FD8" i="1"/>
  <c r="GL25" i="1"/>
  <c r="FV25" i="1"/>
  <c r="GL11" i="1"/>
  <c r="FZ10" i="1"/>
  <c r="GP10" i="1"/>
  <c r="GJ14" i="1"/>
  <c r="DR10" i="1"/>
  <c r="DR25" i="1"/>
  <c r="DR394" i="1"/>
  <c r="DL9" i="1"/>
  <c r="FN9" i="1"/>
  <c r="DO9" i="1"/>
  <c r="HN9" i="1"/>
  <c r="DR396" i="1"/>
  <c r="DR9" i="1"/>
  <c r="HS8" i="1"/>
  <c r="HT9" i="1" s="1"/>
  <c r="DS9" i="1"/>
  <c r="EE9" i="1"/>
  <c r="HO26" i="1"/>
  <c r="HP11" i="1"/>
  <c r="HK11" i="1"/>
  <c r="GU2" i="1" s="1"/>
  <c r="GV1" i="1" s="1"/>
  <c r="HL10" i="1"/>
  <c r="HZ394" i="1"/>
  <c r="HZ392" i="1"/>
  <c r="HZ8" i="1" s="1"/>
  <c r="HZ396" i="1"/>
  <c r="HW396" i="1" s="1"/>
  <c r="HZ25" i="1"/>
  <c r="HZ10" i="1"/>
  <c r="HH396" i="1"/>
  <c r="HG396" i="1" s="1"/>
  <c r="HH394" i="1"/>
  <c r="HH392" i="1"/>
  <c r="HG355" i="1"/>
  <c r="HH25" i="1"/>
  <c r="HH8" i="1" s="1"/>
  <c r="FH396" i="1"/>
  <c r="FG396" i="1" s="1"/>
  <c r="FH394" i="1"/>
  <c r="FH392" i="1"/>
  <c r="FG355" i="1"/>
  <c r="FH25" i="1"/>
  <c r="FH8" i="1" s="1"/>
  <c r="FC11" i="1"/>
  <c r="FT11" i="1" s="1"/>
  <c r="FD10" i="1"/>
  <c r="FV10" i="1" s="1"/>
  <c r="EH9" i="1"/>
  <c r="HS394" i="1"/>
  <c r="HS392" i="1"/>
  <c r="HS25" i="1"/>
  <c r="ID208" i="1"/>
  <c r="ID211" i="1"/>
  <c r="IA137" i="1"/>
  <c r="ID207" i="1"/>
  <c r="ID355" i="1" s="1"/>
  <c r="HZ356" i="1"/>
  <c r="HW208" i="1"/>
  <c r="DF394" i="1"/>
  <c r="DF392" i="1"/>
  <c r="DF8" i="1" s="1"/>
  <c r="DF25" i="1"/>
  <c r="DF10" i="1"/>
  <c r="IB10" i="1"/>
  <c r="FO8" i="1"/>
  <c r="FR9" i="1" s="1"/>
  <c r="HV26" i="1"/>
  <c r="HS356" i="1"/>
  <c r="HZ397" i="1"/>
  <c r="HZ29" i="1"/>
  <c r="HZ14" i="1" s="1"/>
  <c r="FO394" i="1"/>
  <c r="FO392" i="1"/>
  <c r="FO25" i="1"/>
  <c r="HG356" i="1"/>
  <c r="HH26" i="1"/>
  <c r="FG356" i="1"/>
  <c r="FH26" i="1"/>
  <c r="FO11" i="1"/>
  <c r="FP10" i="1"/>
  <c r="FO10" i="1" s="1"/>
  <c r="HV14" i="1"/>
  <c r="HS14" i="1" s="1"/>
  <c r="HS29" i="1"/>
  <c r="HW211" i="1"/>
  <c r="HW359" i="1" s="1"/>
  <c r="HW207" i="1"/>
  <c r="HW355" i="1" s="1"/>
  <c r="DJ9" i="1"/>
  <c r="DP9" i="1"/>
  <c r="DM9" i="1"/>
  <c r="DG394" i="1"/>
  <c r="DG392" i="1"/>
  <c r="DG8" i="1" s="1"/>
  <c r="DG25" i="1"/>
  <c r="DG10" i="1"/>
  <c r="GJ25" i="1" l="1"/>
  <c r="FT25" i="1"/>
  <c r="FC8" i="1"/>
  <c r="ES361" i="1"/>
  <c r="ET8" i="1"/>
  <c r="ES8" i="1" s="1"/>
  <c r="EV9" i="1" s="1"/>
  <c r="ET392" i="1"/>
  <c r="ET396" i="1"/>
  <c r="ES396" i="1" s="1"/>
  <c r="ET394" i="1"/>
  <c r="EL11" i="1"/>
  <c r="EK362" i="1"/>
  <c r="EL361" i="1"/>
  <c r="ES11" i="1"/>
  <c r="ET10" i="1"/>
  <c r="ES10" i="1" s="1"/>
  <c r="DG9" i="1"/>
  <c r="FC10" i="1"/>
  <c r="FT10" i="1" s="1"/>
  <c r="GL10" i="1"/>
  <c r="GJ11" i="1"/>
  <c r="GL8" i="1"/>
  <c r="GO9" i="1" s="1"/>
  <c r="HV9" i="1"/>
  <c r="HG26" i="1"/>
  <c r="HH11" i="1"/>
  <c r="HV11" i="1"/>
  <c r="HS26" i="1"/>
  <c r="ID359" i="1"/>
  <c r="ID397" i="1" s="1"/>
  <c r="ID29" i="1"/>
  <c r="HP9" i="1"/>
  <c r="HZ26" i="1"/>
  <c r="HW26" i="1" s="1"/>
  <c r="HW356" i="1"/>
  <c r="ID356" i="1"/>
  <c r="IA208" i="1"/>
  <c r="FG8" i="1"/>
  <c r="HO11" i="1"/>
  <c r="HP10" i="1"/>
  <c r="HO10" i="1" s="1"/>
  <c r="HW392" i="1"/>
  <c r="HW8" i="1" s="1"/>
  <c r="HX9" i="1" s="1"/>
  <c r="HW394" i="1"/>
  <c r="HW25" i="1"/>
  <c r="HW10" i="1"/>
  <c r="IA211" i="1"/>
  <c r="IA359" i="1" s="1"/>
  <c r="IA397" i="1" s="1"/>
  <c r="IA207" i="1"/>
  <c r="IA355" i="1" s="1"/>
  <c r="HG392" i="1"/>
  <c r="HG394" i="1"/>
  <c r="HG25" i="1"/>
  <c r="HW397" i="1"/>
  <c r="HW29" i="1"/>
  <c r="HW14" i="1" s="1"/>
  <c r="FG26" i="1"/>
  <c r="FH11" i="1"/>
  <c r="FP9" i="1"/>
  <c r="ID396" i="1"/>
  <c r="IA396" i="1" s="1"/>
  <c r="ID394" i="1"/>
  <c r="ID392" i="1"/>
  <c r="ID25" i="1"/>
  <c r="ID8" i="1" s="1"/>
  <c r="FG394" i="1"/>
  <c r="FG392" i="1"/>
  <c r="FG25" i="1"/>
  <c r="HG8" i="1"/>
  <c r="HJ9" i="1" s="1"/>
  <c r="GJ8" i="1" l="1"/>
  <c r="GK9" i="1" s="1"/>
  <c r="GI9" i="1" s="1"/>
  <c r="GJ9" i="1" s="1"/>
  <c r="FD9" i="1"/>
  <c r="FF9" i="1"/>
  <c r="GP9" i="1" s="1"/>
  <c r="ET9" i="1"/>
  <c r="EL8" i="1"/>
  <c r="EL396" i="1"/>
  <c r="EK396" i="1" s="1"/>
  <c r="EK361" i="1"/>
  <c r="EL394" i="1"/>
  <c r="EL392" i="1"/>
  <c r="EL10" i="1"/>
  <c r="EK10" i="1" s="1"/>
  <c r="EK11" i="1"/>
  <c r="ES392" i="1"/>
  <c r="ES394" i="1"/>
  <c r="GJ10" i="1"/>
  <c r="HH9" i="1"/>
  <c r="HZ9" i="1"/>
  <c r="IA392" i="1"/>
  <c r="IA394" i="1"/>
  <c r="IA25" i="1"/>
  <c r="HV10" i="1"/>
  <c r="HS10" i="1" s="1"/>
  <c r="HS11" i="1"/>
  <c r="HS2" i="1" s="1"/>
  <c r="HT1" i="1" s="1"/>
  <c r="IA8" i="1"/>
  <c r="ID9" i="1" s="1"/>
  <c r="ID26" i="1"/>
  <c r="IA356" i="1"/>
  <c r="ID14" i="1"/>
  <c r="IA14" i="1" s="1"/>
  <c r="IA29" i="1"/>
  <c r="HG11" i="1"/>
  <c r="HH10" i="1"/>
  <c r="HG10" i="1" s="1"/>
  <c r="FJ9" i="1"/>
  <c r="FG11" i="1"/>
  <c r="FH10" i="1"/>
  <c r="FG10" i="1" s="1"/>
  <c r="FH3" i="1" s="1"/>
  <c r="FH9" i="1"/>
  <c r="GL9" i="1" l="1"/>
  <c r="EK8" i="1"/>
  <c r="EN9" i="1" s="1"/>
  <c r="EK394" i="1"/>
  <c r="EK392" i="1"/>
  <c r="ID11" i="1"/>
  <c r="IA26" i="1"/>
  <c r="IA1" i="1"/>
  <c r="IB9" i="1"/>
  <c r="EL9" i="1" l="1"/>
  <c r="ID10" i="1"/>
  <c r="IA10" i="1" s="1"/>
  <c r="IA11" i="1"/>
  <c r="GB377" i="1" l="1"/>
  <c r="GD218" i="1" l="1"/>
  <c r="GA218" i="1"/>
  <c r="GB218" i="1" s="1"/>
  <c r="GA219" i="1"/>
  <c r="GB219" i="1" s="1"/>
  <c r="GD219" i="1" l="1"/>
  <c r="GC217" i="1"/>
  <c r="GD217" i="1" l="1"/>
  <c r="GA217" i="1"/>
  <c r="GB217" i="1" s="1"/>
  <c r="GC216" i="1"/>
  <c r="GC213" i="1" l="1"/>
  <c r="GC285" i="1" s="1"/>
  <c r="GC214" i="1"/>
  <c r="GC286" i="1" s="1"/>
  <c r="GD216" i="1"/>
  <c r="GA216" i="1"/>
  <c r="GB216" i="1" s="1"/>
  <c r="GA214" i="1" l="1"/>
  <c r="GB214" i="1" s="1"/>
  <c r="GD214" i="1"/>
  <c r="GA213" i="1"/>
  <c r="GD213" i="1"/>
  <c r="GD286" i="1" l="1"/>
  <c r="GA286" i="1"/>
  <c r="GB286" i="1" s="1"/>
  <c r="GC356" i="1"/>
  <c r="GC26" i="1" s="1"/>
  <c r="GD285" i="1"/>
  <c r="GC355" i="1"/>
  <c r="GC25" i="1" s="1"/>
  <c r="GB213" i="1"/>
  <c r="GA285" i="1"/>
  <c r="GB285" i="1" s="1"/>
  <c r="GD356" i="1" l="1"/>
  <c r="GD355" i="1"/>
  <c r="GC8" i="1" l="1"/>
  <c r="GD25" i="1"/>
  <c r="GD26" i="1"/>
  <c r="GC11" i="1"/>
  <c r="GD11" i="1" l="1"/>
  <c r="GC10" i="1"/>
  <c r="GD8" i="1"/>
  <c r="GD10" i="1" l="1"/>
  <c r="GJ26" i="1" l="1"/>
  <c r="GJ27" i="1"/>
  <c r="GJ29" i="1"/>
  <c r="GA152" i="1"/>
  <c r="GB152" i="1" s="1"/>
  <c r="GH152" i="1"/>
  <c r="GG137" i="1"/>
  <c r="GH137" i="1" s="1"/>
  <c r="GA137" i="1" l="1"/>
  <c r="GB137" i="1" s="1"/>
  <c r="GG207" i="1"/>
  <c r="GH207" i="1" s="1"/>
  <c r="GG211" i="1"/>
  <c r="GH211" i="1" s="1"/>
  <c r="GG208" i="1"/>
  <c r="GH208" i="1" s="1"/>
  <c r="GA208" i="1" l="1"/>
  <c r="GB208" i="1" s="1"/>
  <c r="GG356" i="1"/>
  <c r="GA211" i="1"/>
  <c r="GB211" i="1" s="1"/>
  <c r="GG359" i="1"/>
  <c r="GA207" i="1"/>
  <c r="GB207" i="1" s="1"/>
  <c r="GG355" i="1"/>
  <c r="GH356" i="1" l="1"/>
  <c r="GA356" i="1"/>
  <c r="GB356" i="1" s="1"/>
  <c r="GG26" i="1"/>
  <c r="GH355" i="1"/>
  <c r="GA355" i="1"/>
  <c r="GB355" i="1" s="1"/>
  <c r="GG25" i="1"/>
  <c r="GA359" i="1"/>
  <c r="GB359" i="1" s="1"/>
  <c r="GH359" i="1"/>
  <c r="GG29" i="1"/>
  <c r="GA26" i="1" l="1"/>
  <c r="GB26" i="1" s="1"/>
  <c r="GH26" i="1"/>
  <c r="GG11" i="1"/>
  <c r="GH25" i="1"/>
  <c r="GA25" i="1"/>
  <c r="GB25" i="1" s="1"/>
  <c r="GG8" i="1"/>
  <c r="GH29" i="1"/>
  <c r="GG14" i="1"/>
  <c r="GA29" i="1"/>
  <c r="GB29" i="1" s="1"/>
  <c r="GH14" i="1" l="1"/>
  <c r="GA14" i="1"/>
  <c r="GB14" i="1" s="1"/>
  <c r="GA11" i="1"/>
  <c r="GB11" i="1" s="1"/>
  <c r="GG10" i="1"/>
  <c r="GH11" i="1"/>
  <c r="GA8" i="1"/>
  <c r="GB8" i="1" s="1"/>
  <c r="GC9" i="1" s="1"/>
  <c r="GH8" i="1"/>
  <c r="GG9" i="1"/>
  <c r="GH9" i="1" s="1"/>
  <c r="GH10" i="1" l="1"/>
  <c r="GA10" i="1"/>
  <c r="GB10" i="1" s="1"/>
  <c r="GD9" i="1"/>
  <c r="GA9" i="1"/>
  <c r="GB9" i="1" s="1"/>
  <c r="FS361" i="1" l="1"/>
  <c r="FT361" i="1" s="1"/>
  <c r="FU8" i="1"/>
  <c r="FV8" i="1" s="1"/>
  <c r="FS8" i="1" l="1"/>
  <c r="FY9" i="1"/>
  <c r="FZ9" i="1" s="1"/>
  <c r="FT8" i="1" l="1"/>
  <c r="FU9" i="1" s="1"/>
  <c r="FV9" i="1" l="1"/>
  <c r="FS9" i="1"/>
  <c r="FT9" i="1" s="1"/>
  <c r="FT119" i="1"/>
</calcChain>
</file>

<file path=xl/sharedStrings.xml><?xml version="1.0" encoding="utf-8"?>
<sst xmlns="http://schemas.openxmlformats.org/spreadsheetml/2006/main" count="1191" uniqueCount="532">
  <si>
    <t>№</t>
  </si>
  <si>
    <t>Наименование основного мероприятия, мероприятия, объектов</t>
  </si>
  <si>
    <t>КБК</t>
  </si>
  <si>
    <t>Утв. Бюджет 2016г. (№ 139-оз от 23.12.15г.)</t>
  </si>
  <si>
    <t>в том числе</t>
  </si>
  <si>
    <t>ПОПРАВКИ</t>
  </si>
  <si>
    <t xml:space="preserve">ПРОЕКТ БЮДЖЕТА </t>
  </si>
  <si>
    <t>ПОПРАВКИ (изменения в роспись - ФБ)</t>
  </si>
  <si>
    <t>ПРОЕКТ БЮДЖЕТА с учетом остатков ФБ 2016г. (июнь)</t>
  </si>
  <si>
    <t>Утв. Бюджет на 2017г. (№ 139-оз от 23.12.15г.)</t>
  </si>
  <si>
    <t>ПОПРАВКИ №1</t>
  </si>
  <si>
    <t>Утвержденный бюджет 2017г. (в ред. ОЗ от 09.12.2016г. №90-оз)</t>
  </si>
  <si>
    <t>ПОПРАВКИ -1</t>
  </si>
  <si>
    <t>ПРОЕКТ БЮДЖЕТА 2017г. с учетом поправок №1</t>
  </si>
  <si>
    <t xml:space="preserve">Планируемое неосвоение лимита 2016г. по заключенным гос. контрактам </t>
  </si>
  <si>
    <t>Стоимость по заключенным гос. контрактам на лимит 2017г.</t>
  </si>
  <si>
    <t>Остаток лимита 2017г. на торги по поправкам №1</t>
  </si>
  <si>
    <t>Остаток лимита 2017г. на торги по поправкам №2</t>
  </si>
  <si>
    <t>Пояснение к поправкам №1 по 2017 году.</t>
  </si>
  <si>
    <t>Пояснение к поправкам №2 по 2017 году.</t>
  </si>
  <si>
    <t xml:space="preserve">Лимиты бюджетных обязательств на 2017 год, доведенные Комитетом финансов </t>
  </si>
  <si>
    <t>Конкурсные процедуры объявлены или составлены РНМЦ на лимит 2017г.</t>
  </si>
  <si>
    <t>Остаток лимита 2017г. на торги  (гр. 5-гр. 6-гр.7)</t>
  </si>
  <si>
    <t>Утвержденный бюджет 2019г. (в ред. ОЗ от 09.12.2016г. №90-оз)</t>
  </si>
  <si>
    <t>ПОПРАВКИ -1 (в апреле-мае)</t>
  </si>
  <si>
    <t>ПРОЕКТ БЮДЖЕТА 2019г. с учетом поправок №1 (закон в июле 2017г.)</t>
  </si>
  <si>
    <t>Роспись в АЦК-Финансы на 2019г.</t>
  </si>
  <si>
    <t>ПОПРАВКИ-2</t>
  </si>
  <si>
    <t>Утвержденный бюджет на 2019г. (ОЗ от 21.12.2017г. №82-оз)</t>
  </si>
  <si>
    <t xml:space="preserve">Лимиты бюджетных обязательств на 2018 год, доведенные Комитетом финансов </t>
  </si>
  <si>
    <t>Стоимость по заключенным контрактам на лимит 2019г.</t>
  </si>
  <si>
    <t>Конкурсные процедуры объявлены или составлены РНМЦ на лимит 2019г.</t>
  </si>
  <si>
    <t>Остаток лимита 2019г. на торги  (гр. 7-гр. 8 - гр.9)</t>
  </si>
  <si>
    <t>ПОПРАВКИ в мае-июне 2018г.</t>
  </si>
  <si>
    <t xml:space="preserve">ПРОЕКТ БЮДЖЕТА 2019г. </t>
  </si>
  <si>
    <t xml:space="preserve">Лимиты бюджетных обязательств на 2019 год, доведенные Комитетом финансов </t>
  </si>
  <si>
    <t xml:space="preserve">Пояснения поправок бюджета 2019г. </t>
  </si>
  <si>
    <t xml:space="preserve">ПРОЕКТ БЮДЖЕТА  2020г. (в соотв. с  ГП "Развитие а/д ЛО", утв. постановлением Правительства ЛО от 14.11.2013г. №397)  </t>
  </si>
  <si>
    <t>ПОПРАВКИ -2 на второе чтение</t>
  </si>
  <si>
    <t>Утвержденный бюджет на 2020г. (ОЗ от 21.12.2017г. №82-оз)</t>
  </si>
  <si>
    <t>Доп. Потребность на 2019г.</t>
  </si>
  <si>
    <t>Бюджет на  2019г. ( Закон от 09.04.2019г. №14-оз), включая изменение бюджетной росписи (тыс.руб.)</t>
  </si>
  <si>
    <t xml:space="preserve">ПРОЕКТ БЮДЖЕТА 2020г. </t>
  </si>
  <si>
    <t>Доп. Потребность на 2020г.</t>
  </si>
  <si>
    <t>Предложения по поправкам Бюджета 2019г. (май 2019г.)</t>
  </si>
  <si>
    <t>Проект Бюджета на  2019г. ( Закон от 09.04.2019г. №14-оз) (тыс.руб.)(июль 2019г.)</t>
  </si>
  <si>
    <t>Стоимость по заключенным контрактам на лимит 2019г. (</t>
  </si>
  <si>
    <t xml:space="preserve">Процедуры объявлены или составлены РНМЦ на лимит 2019г. </t>
  </si>
  <si>
    <t xml:space="preserve">Остаток лимита 2019г. </t>
  </si>
  <si>
    <t>Утвержденный Бюджет на 2020г. (тыс.руб.)</t>
  </si>
  <si>
    <t>Доп. Потребность на 2021г.</t>
  </si>
  <si>
    <t>Предложения по поправкам Бюджета 2020г. (май 2019г.)</t>
  </si>
  <si>
    <t>Проект бюджета на 2021г.</t>
  </si>
  <si>
    <t>Предложения по поправкам Бюджета 2020г. (май 2020г.)</t>
  </si>
  <si>
    <t xml:space="preserve">Предложения по доп. потребности ко второму чтению 2020г. </t>
  </si>
  <si>
    <t xml:space="preserve">Предложения по доп. потребности 2021г. </t>
  </si>
  <si>
    <t>Утвержденный Бюджет на 2021г. (тыс.руб.)</t>
  </si>
  <si>
    <t>Предложения по поправкам Бюджета 2021г. (май 2020г.)</t>
  </si>
  <si>
    <t>Предложения по поправкам Бюджета 2021г. (январь 2021г.)</t>
  </si>
  <si>
    <t xml:space="preserve">Предложения по доп. потребности ко второму чтению 2021г. </t>
  </si>
  <si>
    <t xml:space="preserve">Проект Бюджета на  2021г. </t>
  </si>
  <si>
    <t xml:space="preserve">Проект Бюджета на  2022г. </t>
  </si>
  <si>
    <t>Предложения по поправкам Бюджета 2022г. (январь 2021г.)</t>
  </si>
  <si>
    <t xml:space="preserve">Предложения по доп. потребности 2022г. </t>
  </si>
  <si>
    <t xml:space="preserve">Бюджет на  2023г. </t>
  </si>
  <si>
    <t>Предложения по поправкам Бюджета 2023г. (январь 2021г.)</t>
  </si>
  <si>
    <t>Проект Бюджета на  2023г.</t>
  </si>
  <si>
    <t xml:space="preserve">Пояснения </t>
  </si>
  <si>
    <t>пояснения по МО</t>
  </si>
  <si>
    <t>ГКУ Ленавтодор</t>
  </si>
  <si>
    <t>ДК</t>
  </si>
  <si>
    <t>%</t>
  </si>
  <si>
    <t>в тыс.руб.</t>
  </si>
  <si>
    <t>КДХ</t>
  </si>
  <si>
    <t>ГКУ Ленавтодор, ГКУ ЦБДД</t>
  </si>
  <si>
    <t>ГКУ ЦБДД</t>
  </si>
  <si>
    <t>3.1</t>
  </si>
  <si>
    <t>3.2</t>
  </si>
  <si>
    <t>3</t>
  </si>
  <si>
    <t>4</t>
  </si>
  <si>
    <t>4.1</t>
  </si>
  <si>
    <t>4.2</t>
  </si>
  <si>
    <t>5</t>
  </si>
  <si>
    <t>5.1</t>
  </si>
  <si>
    <t>5.2</t>
  </si>
  <si>
    <t>6</t>
  </si>
  <si>
    <t>8</t>
  </si>
  <si>
    <t>9</t>
  </si>
  <si>
    <t>10</t>
  </si>
  <si>
    <t>7</t>
  </si>
  <si>
    <t>14</t>
  </si>
  <si>
    <t>6.1</t>
  </si>
  <si>
    <t>6.2</t>
  </si>
  <si>
    <t>6.1.</t>
  </si>
  <si>
    <t>8.1</t>
  </si>
  <si>
    <t>8.2</t>
  </si>
  <si>
    <t>9.1</t>
  </si>
  <si>
    <t>9.2</t>
  </si>
  <si>
    <t>10.1</t>
  </si>
  <si>
    <t>10.2</t>
  </si>
  <si>
    <t>15.1</t>
  </si>
  <si>
    <t>15.2</t>
  </si>
  <si>
    <t>11</t>
  </si>
  <si>
    <t>11.1</t>
  </si>
  <si>
    <t>11.2</t>
  </si>
  <si>
    <t>12.1</t>
  </si>
  <si>
    <t>12.2</t>
  </si>
  <si>
    <t>7.1</t>
  </si>
  <si>
    <t>7.2</t>
  </si>
  <si>
    <t>3.3</t>
  </si>
  <si>
    <t>4.3</t>
  </si>
  <si>
    <t>6.3</t>
  </si>
  <si>
    <t>7.3</t>
  </si>
  <si>
    <t>8.3</t>
  </si>
  <si>
    <t>10.3</t>
  </si>
  <si>
    <t>9.3</t>
  </si>
  <si>
    <t>11.3</t>
  </si>
  <si>
    <t>Всего расходов  по комитету</t>
  </si>
  <si>
    <t>% от бюджета 2019г.-2021г.</t>
  </si>
  <si>
    <t>в т. ч Дорожный фонд (ФБ+ОБ), в т.ч.:</t>
  </si>
  <si>
    <t>за счет средств областного бюджета (ОБ)</t>
  </si>
  <si>
    <t>за счет средств федерального бюджета (ФБ)</t>
  </si>
  <si>
    <t>Непрограммные расходы (исполнение судебных решений)</t>
  </si>
  <si>
    <t>Справочно: расходы  на финансирование регионального проекта "Региональная и местная дорожная сеть" (Ленинградская область) (ОБ+ФБ)</t>
  </si>
  <si>
    <t>за счет средств федерального бюджета (ФБ), в т.ч.:</t>
  </si>
  <si>
    <t>ремонт региональных дорог</t>
  </si>
  <si>
    <t>ремонт местных дорог</t>
  </si>
  <si>
    <t>Справочно: расходы  на финансирование регионального проекта "Общесистемные меры развития дорожного хозяйства" (Ленинградская область) (ОБ)</t>
  </si>
  <si>
    <t>Справочно: расходы  на финансирование регионального проекта "Безопасность дорожного движения" (Ленинградская область) (ОБ)</t>
  </si>
  <si>
    <t>I. ГП "Развитие транспортной системы Ленинградской области"</t>
  </si>
  <si>
    <t>Всего, в том числе::</t>
  </si>
  <si>
    <t>за счет средств областного бюджета</t>
  </si>
  <si>
    <t>за счет средств федерального бюджета</t>
  </si>
  <si>
    <t xml:space="preserve">Подпрограмма 1   «Развитие сети автомобильных дорог общего пользования» </t>
  </si>
  <si>
    <t>1</t>
  </si>
  <si>
    <t>Основное мероприятие "Строительство и реконструкция а/д общего пользования регионального и межмуниципального значения", в том числе:</t>
  </si>
  <si>
    <t>1.1</t>
  </si>
  <si>
    <t>Строительство а/д общего пользования регионального и межмуниципального значения, в том числе:</t>
  </si>
  <si>
    <t>621 01 04010</t>
  </si>
  <si>
    <t>в том числе по объектам:</t>
  </si>
  <si>
    <t>1.1.1</t>
  </si>
  <si>
    <t>Стр-во подъезда к г. Всеволожску</t>
  </si>
  <si>
    <t>621 01 04010 414 62010101</t>
  </si>
  <si>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2,0 млрд. руб. Бюджетные ассигнования предусмотрены как софинансирование объекта. В 2016 году предусмотрены расходы на разработку проектно-сметной документации, в части изыскательских работ. </t>
    </r>
    <r>
      <rPr>
        <b/>
        <i/>
        <u/>
        <sz val="14"/>
        <rFont val="Arial Cyr"/>
        <charset val="204"/>
      </rPr>
      <t>В 2017 году планируется окончание разработки проектно-сметной документации с получением положительного заключения государственной экспертизы.</t>
    </r>
  </si>
  <si>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2,0 млрд. руб. Бюджетные ассигнования предусмотрены как софинансирование объекта. В 2016 году предусмотрены расходы на разработку проектно-сметной документации, в части изыскательских работ. В 2017 году планируется окончание разработки проектно-сметной документации с получением положительного заключения государственной экспертизы. </t>
    </r>
    <r>
      <rPr>
        <b/>
        <i/>
        <u/>
        <sz val="14"/>
        <rFont val="Arial"/>
        <family val="2"/>
        <charset val="204"/>
      </rPr>
      <t>Дополнтельное финансирование на начало строительно-монтажных работ.</t>
    </r>
  </si>
  <si>
    <t xml:space="preserve">Ведется работа совместно с Федеральным дорожным агентством по привлечению средств из  федерального бюджета для софинансирования строительства объекта. Объект не обеспечен финансированием (ориентировочная стоимость объекта 8,6 млрд. руб.)  В 2020 году бюджетные ассигнования предусмотрены на разработку проектной документации и проведение экспертизы проектной и сметной документации. Бюджетные ассигнования на 2021-2023г.г. предусмотрены на софинансирование объекта (5км). </t>
  </si>
  <si>
    <t xml:space="preserve">СМР - ОБ </t>
  </si>
  <si>
    <t>310</t>
  </si>
  <si>
    <t>ПИР, прочие (КОСГУ 228)</t>
  </si>
  <si>
    <t>226</t>
  </si>
  <si>
    <t>1.1.2</t>
  </si>
  <si>
    <t>Стр-во мост.перех. ч/р Волхов на подъезде к г.Кириши в Кир.р-не ЛО</t>
  </si>
  <si>
    <t>621 01 04010 414 62010111</t>
  </si>
  <si>
    <r>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3,1 млрд. руб. Бюджетные ассигнования предусмотрены как софинансирование объекта.</t>
    </r>
    <r>
      <rPr>
        <b/>
        <i/>
        <u/>
        <sz val="14"/>
        <rFont val="Arial Cyr"/>
        <charset val="204"/>
      </rPr>
      <t xml:space="preserve"> В 2016 году предусмотрены расходы на начало разработки рабочей документации,землеустроительные и кадастровые работы и авторский надзор. В 2017 году начало строительно-монтажных работ.</t>
    </r>
  </si>
  <si>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3,1 млрд. руб. Бюджетные ассигнования предусмотрены как софинансирование объекта. В 2016 году предусмотрены расходы на начало разработки рабочей документации,землеустроительные и кадастровые работы и авторский надзор. </t>
    </r>
    <r>
      <rPr>
        <b/>
        <i/>
        <u/>
        <sz val="14"/>
        <rFont val="Arial"/>
        <family val="2"/>
        <charset val="204"/>
      </rPr>
      <t>Дополнительное  финансирование на окончание разработки рабочей документации.</t>
    </r>
  </si>
  <si>
    <t>Ведется работа совместно с Федеральным дорожным агентством по привлечению средств из  федерального бюджета для софинансирования строительства объекта. В 2020г. бюджетные ассигнования предусмотрены на выполнение строительно-монтажных работ на объекте, инженерное сопровождение и авторский надзор. Бюджетные ассигнования на 2021-2023г.г. предусмотрены на продолжение работ на объекте, в т.ч. в 2021-2022г. за счет средств федерального бюджета в соответствии с заключенным Соглашением между Федеральным дорожным агентством и Правительством Лен. области от 28.12.2019г. № 108-17-2020-095. Завершение работ по условиям гос. контракта запланировано на 01.12.2025г.Ввод в эксплуатацию 1,49км/434,8 пог.м</t>
  </si>
  <si>
    <t>1.1.3</t>
  </si>
  <si>
    <t xml:space="preserve">Стр-во транспортной развязки на пересечении а/дороги "СПб-з-д им.Свердлова- Всеволожск (км39) с железной дорогой на  перегоне Всеволожск-Мельничный Ручей во Всеволож. р-не Лен. области </t>
  </si>
  <si>
    <t>621 01 04010 414 310 62010115</t>
  </si>
  <si>
    <t>Ведется работа совместно с Федеральным дорожным агентством по привлечению средств из  федерального бюджета для софинансирования строительства. Ориентировочная стоимость объекта 1,6 млрд. руб. Бюджетные ассигнования предусмотрены как софинансирование объекта. В 2016 году предусмотрены расходы на разработку проектной документации, экспертизу, землеустроительные и кадастровые работы и начало строительно-монтажных работ.</t>
  </si>
  <si>
    <t>Объект финансируется в рамках национального проекта "Безопасные и качественные автомобильные дороги" Федеральный проект "Дорожная сеть". Бюджетные ассигнования на 2021-2022г.г. предусмотрены на продолжение строительно-монтажных работ на объекте за счет средств федерального бюджета в соответствии с заключенным Соглашением между Федеральным дорожным агентством и Правительством Лен. области от 28.12.2019г. № 108-17-2020-095. Завершение работ по условиям гос. контракта запланировано на 09.12.2022г. Ввод в эксплуатацию 1,3км/79,2 пог.м</t>
  </si>
  <si>
    <t>Плата за землю при изъятии (выкупе) земельных участков (КОСГУ 330)</t>
  </si>
  <si>
    <t>Возмещение стоимости сносимых строений при изъятии (выкупе) земельных участков (КОСГУ 298)</t>
  </si>
  <si>
    <t>1.1.4</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</si>
  <si>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t>
  </si>
  <si>
    <t>621 01 04010 414 310 62010106</t>
  </si>
  <si>
    <t>ОАО "РЖД" планирует увеличить количество скоростных поездов, в связи с чем увеличивается время закрытия переездов на а/д "Павлово-Мга-Шапки-Любань-Оредеж-Луга" , учитывая возможность возникновения социальной напряженности, объект включен в гос. программу с 2018г. Ориентировочная стоимость объекта 1,0 млрд. руб. В 2016 году предусмотрены расходы на разработку проектной документации.</t>
  </si>
  <si>
    <t>Ведется работа совместно с Федеральным дорожным агентством по привлечению средств из  федерального бюджета для софинансирования строительства объекта. В 2020г. бюджетные ассигнования предусмотрены на выполнение строительно-монтажных работ на объекте, инженерное сопровождение и авторский надзор, разработку рабочей документации. Бюджетные ассигнования на 2021-2023г.г. предусмотрены на продолжение работ на объекте, в т.ч. в 2021-2022г. за счет средств федерального бюджета в соответствии с заключенным Соглашением между Федеральным дорожным агентством и Правительством Лен. области от 28.12.2019г. № 108-17-2020-095. Завершение работ по условиям гос. контракта запланировано на 20.12.2024г. Ввод в эксплуатацию 2,26км</t>
  </si>
  <si>
    <t>1.1.5</t>
  </si>
  <si>
    <t>Стр-во мост.перех. ч/р Свирь у г.Подпорожье</t>
  </si>
  <si>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3,6 млрд. руб. Бюджетные ассигнования предусмотрены как софинансирование объекта.  Объект включен в гос. программу "Развитие автомобильных дорог Ленинградской области"  с 2018г.</t>
  </si>
  <si>
    <t>Ведется работа совместно с Федеральным дорожным агентством по привлечению средств из  федерального бюджета для софинансирования строительства объекта. В 2020г. бюджетные ассигнования предусмотрены на выполнение строительно-монтажных работ на объекте, инженерное сопровождение, авторский надзор, разработку рабочей документации и выкуп земельных участков. Бюджетные ассигнования на 2021-2023г.г. предусмотрены на продолжение работ на объекте. Завершение работ по условиям гос. контракта запланировано на 01.12.2026г. Ввод в эксплуатацию 2,5км/726,31 пог.м</t>
  </si>
  <si>
    <t>ПИР, прочие</t>
  </si>
  <si>
    <t>1.1.6</t>
  </si>
  <si>
    <t xml:space="preserve">Устройство пешеходного перехода на разных уровнях на а/д общего пользования регионального значения "Парголово-Огоньки" на км 26 </t>
  </si>
  <si>
    <t>Стр-во путепр. в месте пересечения жел.путей и а/д "Подъезд к г.Гатчина-2"</t>
  </si>
  <si>
    <t>1.1.7</t>
  </si>
  <si>
    <t xml:space="preserve">Стр-во автодор. путепровода на  ст.Возрождение участка Выборг-Каменногорск взамен закрываемого переезда на ПК 229+44.20 (23км) </t>
  </si>
  <si>
    <t xml:space="preserve">Бюджетные ассигнования на 2021г. предусмотрены на завершение работ на объекте и ввод объекта в эксплуатацию (1,43км/102,3пог.м). По государственному контракту начало работ 17.08.15 г. - окончание 15.12.16 г., подрядчик – ООО «Дортекс». Срыв сроков обусловлен неисполнением подрядной организацией договорных обязательств. Ведется претензионная работа. В настоящее время идет процесс расторжения государственного контракта в одностороннем порядке. Остатки невыполненных объемов работ на объекте для обеспечения ввода в эксплуатацию будут выставлены на торги. Завершение работ будет произведено после исполнения государственного контракта, заключенного по итогам торгов. 
</t>
  </si>
  <si>
    <t xml:space="preserve">Этап 1. Стр-во подъезда к ТПУ "Кудрово", </t>
  </si>
  <si>
    <t xml:space="preserve">Бюджетные ассигнования на 2020г. предусмотрены на финансирование объекта в соответствии с п. 1.2.1. Соглашения от 06.06.2019г. №б/н  "О взаимодействии при реализации объекта: "Стр-во подъезда к ТПУ "Кудрово" с реконструкцией транспортной развязки на км 12+575 а/д Р-21 "Кола"" (далее-Соглашение) на выполнение проектно-изыскательских работ с последующим получением положительного заключения государственной экспертизы проекта и заключение договора на осуществление технологического присоединения объекта. Договор на осуществление технологического присоединения объекта планируется заключить на 2 года (2020-2022г.г.), При обеспечении объекта финансированием стоимости строительно-монтажных работ и работ по сопровождению объекта размещение государственного заказа на выполнение работ возможно в 2021г. Ориентировочная стоимость объекта 1,5 млрд. руб. В соответствии с Соглашением, ИКЕА безвозмездно финансирует часть стоимости объекта, включая этап 1 строительство, этап 2 реконструкция, путем внесения денежных средств в дорожный фонд Ленинградской области в размере 690 877,0 тыс. руб. в сроки, установленные Соглашением после предоставления со стороны Комитета по дорожному хозяйству в адрес ИКЕА информации о заключении гос. контракта и отчета об освоении (в %, установленных Соглашением)  стоимости  выполнения строительно-монтажных работ. </t>
  </si>
  <si>
    <t>1.1.8</t>
  </si>
  <si>
    <t>Стр-во автомобильной дороги от кольцевой автомобильной дороги вокруг Санкт-Петербурга до автомобильной дороги "Санкт-Петербург-Матокса" на участке от границы Санкт-Петербурга до а/д "Санкт-Петербург-Матокса"</t>
  </si>
  <si>
    <t>Ведется работа совместно с Федеральным дорожным агентством по привлечению средств из  федерального бюджета для софинансирования строительства объекта. Объект не обеспечен финансированием (стоимость объекта 5,9 млрд. руб.). В 2019г. проектно-сметная документация сдана для прохождения государственной экспертизы. Бюджетные ассигнования на 2021-2023г.г. предусмотрены на софинансирование объекта, в т.ч. в 2021-2022г. за счет средств федерального бюджета в соответствии с заключенным Соглашением между Федеральным дорожным агентством и Правительством Лен. области от 28.12.2019г. № 108-17-2020-095. При обеспечении финансированием объекта ввод в эксплуатацию составит 6,35км.</t>
  </si>
  <si>
    <t>1.1.9</t>
  </si>
  <si>
    <t>Подключение международного автомобильного вокзала в составе ТПУ "Девяткино" к КАД (строительство транспортной развязки на км 30+717 прямого хода КАД с подключением международного автомобильного вокзала)</t>
  </si>
  <si>
    <t>Проектно-изыскательские работы и отвод земель будущих лет</t>
  </si>
  <si>
    <t>621 01 04010 414 226  62010120</t>
  </si>
  <si>
    <t>Объем бюджетных ассигнований на 2017 год предусмотрен на вновь начинаемые объекты строительства будущих лет.</t>
  </si>
  <si>
    <t>Бюджетные ассигнования на 2021-2023г.г. предусмотрены на финансирование переходящих объектов и проведение конкурсных процедур вновь начинаемых объектов ПИР будущих лет</t>
  </si>
  <si>
    <t>1.2</t>
  </si>
  <si>
    <t>Реконструкция а/д общего пользования регионального и межмуниципального значения</t>
  </si>
  <si>
    <t>621 01 04260</t>
  </si>
  <si>
    <t>1.2.1</t>
  </si>
  <si>
    <t>Реконструкция автомобильной дороги "Петергоф – Кейкино", км 5 – км 26</t>
  </si>
  <si>
    <t>6210104260 414 310 62010104</t>
  </si>
  <si>
    <t>Ведется работа совместно с Федеральным дорожным агентством по привлечению средств из  федерального бюджета для софинансирования строительства. Ориентировочная стоимость объекта 7,5 млрд. руб. Бюджетные ассигнования предусмотрены как софинансирование объекта. В 2016 году предусмотрены расходы на разработку проектной и рабочей документации. Для обеспечения дополнительного автодорожного выхода из г. Сосновый Бор (пути эвакуации ЛАЭС-2) объект включен в гос. программу "Развитие автомобильных дорог Ленинградской области" с 2018г.</t>
  </si>
  <si>
    <t>Ведется работа совместно с Федеральным дорожным агентством по привлечению средств из  федерального бюджета для софинансирования реконструкции объекта. Объект не обеспечен финансированием стоимости объекта (8,9 млрд. руб.). В 2020 г. планируется разработка документации по планировке территории линейного объекта. Бюджетные ассигнования на 2023г. предусмотрены на софинансирование объекта. При обеспечении финансированием объекта ввод в эксплуатацию составит 21км.</t>
  </si>
  <si>
    <t>1.2.2</t>
  </si>
  <si>
    <t xml:space="preserve">Реконструкция мостового перехода через р. Мойка на км 47+300 автомобильной дороги Санкт-Петербург - Кировск в Кировском районе Ленинградской области </t>
  </si>
  <si>
    <t>6210104260 414 310 62010110</t>
  </si>
  <si>
    <t>Мостовой переход находится в неудовлетворительном техническом состоянии, не отвечает требованиям по грузоподъемности и геометрическим параметрам.Ориентировочная стоимость объекта 431 млн. руб.  Объект включен в гос. программу "Развитие автомобильных дорог Ленинградской области" с 2018г.</t>
  </si>
  <si>
    <t>Ведется работа совместно с Федеральным дорожным агентством по привлечению средств из  федерального бюджета для софинансирования реконструкции объекта. Объект не обеспечен финансированием стоимости объекта (522,5 млн. руб.). Бюджетные ассигнования на 2021-2023г.г. предусмотрены на софинансирование объекта. При обеспечении финансированием объекта ввод в эксплуатацию составит 1,7км/60,41 пог.м.</t>
  </si>
  <si>
    <t>1.2.3</t>
  </si>
  <si>
    <t xml:space="preserve">Реконструкция автомобильной дороги "Копорье-Ручьи" км0+000 - км37+500 </t>
  </si>
  <si>
    <t>6210104260  414 310 62010116</t>
  </si>
  <si>
    <t xml:space="preserve">Для обеспечения альтернативного подъезда к морскому торговому порту "Усть-Луга", обеспечения планируемой к созданию индустриальной зоны"Усть-Луга" объект включен в гос. программу "Развитие автомобильных дорог Ленинградской области" с 2018г. Ориентировочная стоимость объекта 1,0 млрд. руб. В 2016 году предусмотрены расходы на разработку проектной документации.   </t>
  </si>
  <si>
    <t>Ведется работа совместно с Федеральным дорожным агентством по привлечению средств из  федерального бюджета для софинансирования реконструкции. Объект не обеспечен финансированием стоимости объекта (1,4 млрд. руб.). При обеспечении финансированием объекта ввод в эксплуатацию составит 37,5км</t>
  </si>
  <si>
    <t>Рек-ция а/д "Санкт-Петербург-Колтуши на участке КАД-Колтуши"</t>
  </si>
  <si>
    <t xml:space="preserve">Объект включен в гос. программу "Развитие автомобильных дорог Ленинградской области" с 2019г. Ориентировочная стоимость объекта 3,5 млрд. руб. В 2016 году предусмотрены расходы на разработку проектной документации и прохождение гос. экспертизы.   </t>
  </si>
  <si>
    <t xml:space="preserve">Ведется работа совместно с Федеральным дорожным агентством по привлечению средств из  федерального бюджета для софинансирования реконструкции объекта. Объект не обеспечен финансированием стоимости объекта (2,9 млрд. руб.). В 2020г. бюджетные ассигнования предусмотрены на проведение комплекса инженерно-технических услуг в целях размещения линейного объекта, а также на проведение конкурсных процедур на разработку рабочей документации, инженерное сопровождение и авторский надзор, выполнение строительно-монтажных работ на объекте. Бюджетные ассигнования на 2021-2023г.г. предусмотрены на продолжение работ на объекте и на изъятие  (выкуп) земельных участков (343 153,0 тыс. руб.), в т.ч. в 2021-2022г. за счет средств федерального бюджета в соответствии с заключенным Соглашением между Федеральным дорожным агентством и Правительством Лен. области от 28.12.2019г. № 108-17-2020-095. </t>
  </si>
  <si>
    <t>1.2.2.</t>
  </si>
  <si>
    <t>Рек-ция а/д  "Красное Село-Гатчина-Павловск" км 14+600-км 18+000 подрядчик ООО "Дортекс"</t>
  </si>
  <si>
    <t>1.2.4</t>
  </si>
  <si>
    <t>Реконструкция а/д общего пользования регионального значения "Войпала - Сирокасска - Васильково - Горная Шальдиха" на участке км 13 - км 14 с устройством нового водопропускного сооружения на р. Рябиновке</t>
  </si>
  <si>
    <t>В 2020г. бюджетные ассигнования предусмотрены на разработку  рабочей документации, инженерное сопровождение,  авторский надзор, а такжн на выполнение строительно-монтажных работ на объекте. Бюджетные ассигнования на 2021г. предусмотрены на завершение работ на объекте. По условиям гос. контракта  завершение работ запланировано на  30.06.2021г. Ввод объекта в эксплуатацию в 2021г. - 0,24км</t>
  </si>
  <si>
    <t xml:space="preserve">Этап 2 Реконструкция транспортной развязки на км 12+575 автомобильной дороги Р-21 "Кола" </t>
  </si>
  <si>
    <t xml:space="preserve">Бюджетные ассигнования на 2020г. предусмотрены на финансирование объекта в соответствии с п. 1.2.1. Соглашения от 06.06.2019г. №б/н  "О взаимодействии при реализации объекта: "Стр-во подъезда к ТПУ "Кудрово" с реконструкцией транспортной развязки на км 12+575 а/д Р-21 "Кола"" (далее-Соглашение) на выполнение проектно-изыскательских работ с последующим получением положительного заключения государственной экспертизы проекта и заключение договора на осуществление технологического присоединения объекта. Договор на осуществление технологического присоединения объекта планируется заключить на 2 года (2020-2022г.г.), При обеспечении объекта финансированием стоимости строительно-монтажных работ и работ по сопровождению объекта размещение государственного заказа на выполнение работ возможно в 2021г. Ориентировочная стоимость объекта 1,0 млрд. руб. В соответствии с Соглашением, ИКЕА безвозмездно финансирует часть стоимости объекта, включая этап 1 строительство, этап 2 реконструкция, путем внесения денежных средств в дорожный фонд Ленинградской области в размере 690 877,0 тыс. руб. в сроки, установленные Соглашением после предоставления со стороны Комитета по дорожному хозяйству в адрес ИКЕА информации о заключении гос. контракта и отчета об освоении (в %, установленных Соглашением)  стоимости  выполнения строительно-монтажных работ. </t>
  </si>
  <si>
    <t>621 01 04260 414 226 62010120</t>
  </si>
  <si>
    <t>Объем бюджетных ассигнований на 2017 год соответствует принятым расходным обязательствам по заключенным государственным контрактам  на объекты реконструкции ПИР будущих лет.</t>
  </si>
  <si>
    <r>
      <t xml:space="preserve">Объем бюджетных ассигнований на 2017 год соответствует принятым расходным обязательствам по заключенным государственным контрактам  </t>
    </r>
    <r>
      <rPr>
        <b/>
        <i/>
        <u/>
        <sz val="14"/>
        <rFont val="Arial Cyr"/>
        <charset val="204"/>
      </rPr>
      <t>и вновь начинаемым объектам</t>
    </r>
    <r>
      <rPr>
        <b/>
        <i/>
        <sz val="14"/>
        <rFont val="Arial Cyr"/>
        <charset val="204"/>
      </rPr>
      <t xml:space="preserve"> реконструкции ПИР будущих лет.</t>
    </r>
  </si>
  <si>
    <t>2</t>
  </si>
  <si>
    <t>Строительство (реконструкция), включая проектирование, а/д общего пользования местного значения (Субсидии МО)</t>
  </si>
  <si>
    <t>6217012 522 251 62010300</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</si>
  <si>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t>
  </si>
  <si>
    <t xml:space="preserve">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 </t>
  </si>
  <si>
    <t>2.1.</t>
  </si>
  <si>
    <t>Волосовский муниц. р-н</t>
  </si>
  <si>
    <t>Заявка МО. Поручение Администрации Президента РФ (сл. документ от 28.13.2013г. № 2-7719/11-7;  002-5749/2018-1-1). Аварийное состояние моста.  Разработку проекта планируется завершить в 2018 году. Срок исполнения продлен до 15.09.2019 года. Ввод объекта в эксплуатацию в 2019г. - 38,0 пог.м</t>
  </si>
  <si>
    <t>неосвоение 2020</t>
  </si>
  <si>
    <t>Заявка МО отборана по результатам конкурсного отбора. Ранее: Обращение администрации МО "Волосовский МР". Решение суда.</t>
  </si>
  <si>
    <t xml:space="preserve">Разработка проектно-сметной документации                                      на реконструкцию автодороги                                        "Б. Сабск - Изори" </t>
  </si>
  <si>
    <t>2.2.</t>
  </si>
  <si>
    <t>Всеволожский муниц. р-н</t>
  </si>
  <si>
    <t>Реконструкция ул. Дорожной (в границах от Дороги Жизни до дома №7), Садового переулка и улицы Майской в г. Всеволожске по адресу: Ленинградскя область, г. Всеволожск, ул. Дорожная (в границах от Дороги Жизни до дома №7); Ленинградская область, г. Всеволожск, Садовый переулок; Ленинградская область, ул. Майская. Протяженность 0,948 км.</t>
  </si>
  <si>
    <t xml:space="preserve">Заявка МО отборана по результатам конкурсного отбора. Обращение Общественной палаты Ленинградской области. Поручение Губернатора Ленинградской области (сл. документ от 05 декабря 2017 года № 15-1539/2017). Начало реализации объекта - 2018г. В 2020г. откорректирована проектная документация, завершение СМР в 2021г., ввод объекта в эксплуатацию - 0,948 км. </t>
  </si>
  <si>
    <t>Заявка МО отборана по результатам конкурсного отбора. Обращение жителей и администрации МО. Начало проектирования 2019 года, окончание - 2020 год. Планируемый срок реализации проекта и проведения строительно-монтажных работ - 2022-2023 г.г. (Поручение М.И. Москвина - резолюции к сл. документу от 13.12.16 № вм-745_16-0-0  и от 21.09.2018 № 05-2837/2018; обращение жителей на имя Губернатора ЛО 15.08.2017 № 04-1789/2020-0-0;)</t>
  </si>
  <si>
    <t>Заявка МО отборана по результатам конкурсного отбора. Обращение жителей и администрации МО. Начало проектирования 2019 года, окончание - 2020 год. Планируемый срок реализации проекта и проведения строительно-монтажных работ - 2022-2023 г.г. (Поручение М.И. Москвина - резолюции к сл. документу от 13.12.16 № вм-745_16-0-0  и от 21.09.2018 № 05-2837/2018; обращение жителей на имя Губернатора ЛО 15.08.2017 № 04-1789/2020-0-0;. Бюджетные ассигнования на 2021-2022г.г. предусмотрены на финансирование строительно-монтажных работ на объекте. В 2020г. завершение разработки ПСД</t>
  </si>
  <si>
    <t>новый</t>
  </si>
  <si>
    <t>Заявка МО отборана по результатам конкурсного отбора. Обращение  жителей микрорайона «Южный»". Поручение Губернатора Ленинградской области от 17 августа 2017 года № 15-7179/17-1. Планируемый срок завершение реализации проекта строительства дороги и ввода ее в эксплуатацию в 2022г. - 0,496 км. В 2020г. откорректирована проектная документация за счет МО</t>
  </si>
  <si>
    <t>Строительство улично-дорожной сети по адресу: Ленинградкая область, г.Всеволожск, Южный жилой район, продолжение ул. Добровольского от ул. Невская до ул. Аэропортовская, ул. Аэропортовская от пр. Добровольского до ул. Центральная (0,687 км)</t>
  </si>
  <si>
    <t>Заявка МО отборана по результатам конкурсного отбора. Обращение жителей микрорайона «Южный»", поручение Губернатора Ленинградской области от 17 августа 2017 года № 15-7179/17-1 . Плановый срок ввода объекта в эксплуатацию  в 2022г. - 0,687 км. Разработанный проект требует корректировки и нуждается в получении положительного заключения  государственной экспертизы. Сроки реализации и стоимость строительства будут уточнены по результатам гос. экспертизы.</t>
  </si>
  <si>
    <t>Строительство Проектируемой улицы №1 в створе продолжения улицы Центральной и улицы Дмитрия Кожемякина в г. Сертолово Ленинградской области</t>
  </si>
  <si>
    <t>Заявка МО отборана по результатам конкурсного отбора. Поручение Губернатора ЛО. Начало строительства в 2020г. Ввод объекта в эксплуатацию  в 2021г. - 0,687 км. Дорога обеспечивает подъезд  к вновь построенному объекту здравоохранения - поликлинике.</t>
  </si>
  <si>
    <t>Реконструкция проезда мкрн Черная речка - мкрг Сертолово-2 по адресу: Ленинградская область, Всеволожский район, г. Сертолово, микрорайон Сертолово-2, ул. Мира, земельный участок с кадастровым номером 47:08:0103002:2500 (в границах квартала Сертолово-2 до примыкания к Восточно-Выборгскому шоссе)</t>
  </si>
  <si>
    <t xml:space="preserve">Решение конкурсной комиссии по отбору муниципальных образований ЛО для предоставления субсидий на строительство (реконструкцию), включая проектирование  а/д  от 15.11.2019. Проектная документация выполнена за счет МО. Плановый срок начала реконструкции в 2021г. Ввод объекта в эксплуатацию  в 2022г.  </t>
  </si>
  <si>
    <t>2.3</t>
  </si>
  <si>
    <t>Выборгский район</t>
  </si>
  <si>
    <t>Строительство путепровода в промышленной зоне Лазаревка через железную дорогу Санкт-Петербург - Бусловская в городе Выборге Ленинградской области по адресу: Ленинградская область, Выборгский район, г. Выборг, промзона Лазаревка (0,553 км/134,4 п.м.)</t>
  </si>
  <si>
    <t>Гатчинский муниципальный район</t>
  </si>
  <si>
    <t>Строительство продолжения ул. Слепнева  (от ул. Авиатриссы Зверевой   до примыкания  к ул. Киевской) по адресу: Ленинградская область, г. Гатчина</t>
  </si>
  <si>
    <t>достроили за свой счет</t>
  </si>
  <si>
    <t>Заявка МО. Подъезд к музейным центрам. Разработка ПИР производилась с привлечением средств областного бюджета. Субсидии на ПИР были предоставлены бюджету Рождественское с. п. в рамках исполнения поручений Губернатора Ленинградской области. Ввод объекта в эксплуатацию в 2021г. - 0,41 км. Перенос сроков реализации и лимитов финансирования вызван необходимостью корректировки проектной документации и увязкой высотных отметок с прилегающей территории к строящемуся зданию многофункциональному музейному центру.</t>
  </si>
  <si>
    <t>Устное обещание Губернатора ЛО.  Многочисленные жалобы населения. Аварийное состояние моста. В 2019г. Пплучено положительное заключение гос. экспертизы на ПСД. Выполнение СМР в 2021-2022г.г.Ввод объекта в эксплуатацию в 2022г. - 0км/80пог.м</t>
  </si>
  <si>
    <t xml:space="preserve">Заявка МО отборана по результатам конкурсного отбора.  Сроки реализации 2020-2023 год. Реализация проекта строительства объекта запланирована в рамках поручения Президента РФ (сл. документ от и решения Гатчинского городского суда). Реализация проекта строительства участка автодороги до д. Клетно обеспечит бесперебойной и безопасной автотранспортной связью с сетью дорог общего пользования данный сельский населенный пункт. Начало ПИР по объекту - 2020г., завершение ПИР - 2021г. </t>
  </si>
  <si>
    <t>2.4</t>
  </si>
  <si>
    <t>Кингисеппский муниципальный район</t>
  </si>
  <si>
    <t>Строительство улицы Шадрина на участке от улицы Крикковское шоссе до улицы Проектная 3 в мкр. №7 г.Кингисепп</t>
  </si>
  <si>
    <t xml:space="preserve">Заявка МО отборана по результатам конкурсного отбора.  Сроки реализации 2020-2021 год. Реализация проекта строительства участка автодороги по ул. Шадрина обеспечит бесперебойной и безопасной автотранспортной связью с сетью дорог общего пользования спортивный комплекс «Олимп». Ввод объекта в эксплуатацию в 2021 г.  - 0,47618 км. </t>
  </si>
  <si>
    <t>ПИР на строительство нового пешеходного моста к стадиону</t>
  </si>
  <si>
    <t>Предварительно Администрацией МО заявлена потребность на 2021г. на проектирование искусственных сооружений</t>
  </si>
  <si>
    <t>ПИР строительство автомобильного моста с реконструкцией существующего пешеходного моста</t>
  </si>
  <si>
    <t>2.5</t>
  </si>
  <si>
    <t>Кировский муниципальный район</t>
  </si>
  <si>
    <t>Разработка проектно-сметной документации на строительство моста через Староладожский канал в створе Северного переулка в г. Шлиссельбурге</t>
  </si>
  <si>
    <t>Заявка МО отборана по результатам конкурсного отбора. Субсидии на разработку проекта строительства автодорожного моста предоставляются  с 2017 года. Отсутствие разработанных 
и утвержденных ППТи ПМ для размещения данного линейного объекта, является препятствием для направления проекта на рассмотрение в органы государственной экспертизы. Строительство моста является одной из самых важных задач обеспечения бесперебоной автотранспорной связью жилых районов г. Шлиссельбурга, разделенных водными преградами. Плановый срок получения положительного заключения гос. экспертизы - 2021 год.</t>
  </si>
  <si>
    <t>Разработка проектно-сметной документации на строительство трех пешеходных мостов через Малоневский канал в районе жилых домов № 7, 9, 15 в г. Шлиссельбург (3 моста по 42 п.м.)</t>
  </si>
  <si>
    <t xml:space="preserve">Заявка МО отборана по результатам конкурсного отбора. Неоднократные обращения администрации МО Шлиссельбургское ГП  и жителей в Правительство ЛО. Необходимость строительства новых мостовых переходов связана с комплексной прочисткой каналов в г. Шлиссельбург и демонтажа ранее существоваших пешеходных переправ. Плановый срок разработки проектной докуметации -2021 год. </t>
  </si>
  <si>
    <t>Разработка проектно-сметной документации на реконструкцию а/д  по адресу: г. Отрадное, 4 Советский проспект от региональной трассы СПб-Кировс до ул. Балтийская</t>
  </si>
  <si>
    <t>Заявка МО отборана по результатам конкурсного отбора. Разработка ПИР запланирована на 2021 год.</t>
  </si>
  <si>
    <t>2.6</t>
  </si>
  <si>
    <t>Ломоносовкий муниципальный район</t>
  </si>
  <si>
    <t xml:space="preserve">Заявка МО. Обращение главы МО Анинское ГП Кулакова И.Я., резолюция Губернатора ЛО к служебному документу  052-5507/2018-1-1 от 18.06.2018. Реализация объекта в рамках выделенных лимитов запланирована в  программе  на 2021 год. Необходимо ускорить сроки реализация объекта. </t>
  </si>
  <si>
    <t>2.7</t>
  </si>
  <si>
    <t>Сосновоборский городской округ</t>
  </si>
  <si>
    <t xml:space="preserve">Реконструкция Копорского шоссе с перекрестками улиц Ленинградская - Копорское шоссе и перекрестками улиц Копорское шоссе - проспект Александра Невского                                                         в гор. Сосновый Бор Ленинградской области                                 по адресу: автомобильная дорога Копорское шоссе с перекрестками улиц Ленинградская - Копорское шоссе и перекрестка улиц Копорское шоссе - проспект Александра Невского                                                                        в гор. Сосновый Бор Ленинградской области.        Этап 1. Участок Копорского шоссе от перекреста с  ул. Ленинградская  до проезда на базу ВНИПИЭТ </t>
  </si>
  <si>
    <t xml:space="preserve">Заявка МО отборана по результатам конкурсного отбора. Ходатайство депутата Государственной думы ФС РФ Н.А. Кузьмина. Реконструкция автодороги позволит обеспечить безопасность дорожного движения автотранспорта, движущегося в направлении порта "Усть -Луга" и ЛАЭС. Предусмотрен поэтапный подход к реконструкции - с разбивкой по стоимости.  Переходящий с 2016 года объект. Строительство 2-го этапа завершено. Корректирка проектной документации за счет МО. В 2023 году планируется завершить реконструкцию 1-го этапа. Ввод объекта в эксплуатацию в 2023 г. - 0,873км. </t>
  </si>
  <si>
    <t>Строительство объекта капитального строительства "Дорога к детскому саду в п. Новоселье Ломоносовского района Ленинградской области II и III этапы</t>
  </si>
  <si>
    <t>Тосненский район</t>
  </si>
  <si>
    <t>Заявка МО на получение субсидий на ПИР отборана по результатам конкурсного отбора.  По предложениям администрации МО Тосненский район  - реализовать данный объект в рамках одного МК на выполнение работ по проектированию и  строительству прорабатывается вопрос выделения средств на весь объем работы. АМО ведет подготовку документации и обосновающих материлов для обеспечения возможности заключения такого МК. (Служебный документ от 29.05.2020 № 058-6202/2020, отв. Марков Р.И., Седов Д.С.) . Бюджетные ассигнования на 2020г.-2021г. предусмотрены на корректировку проектно-сметной документации в размере 4 275,0 тыс. руб. Плановый срок проведения строительно-монтажных работ - 2022-2023г.г.</t>
  </si>
  <si>
    <t>Основное мероприятие "Приоритетный проект "Комплексное развитие дорожно-транспортной инфраструктуры Бугровского, Муринского и  Новодевяткинского сельских поселений  Ленинградской области""</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</si>
  <si>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 (Подрядчик АО ПО Возрождение)</t>
  </si>
  <si>
    <t>621 01 04010 414 310 00000000</t>
  </si>
  <si>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18,1 млрд. руб. Бюджетные ассигнования предусмотрены как софинансирование объекта. В 2016 году предусмотрены расходы на разработку и экспертизу проектной документации. Объект включен в гос. программу "Развитие автомобильных дорог Ленинградской области" с 2019г.</t>
  </si>
  <si>
    <t xml:space="preserve"> Гос. контракт на выполнение строительно-монтажных работ  заключен в декабре  2018г., сроком до 2024 года. Стоимость объекта 16,6 млрд. руб., в т.ч. 1 этапа - 2,6 млрд. руб.</t>
  </si>
  <si>
    <t>Подключение международного автомобильного вокзала в составе ТПУ "Девяткино" к КАД (стр-во транспортной развязки на км 30+717 прямого хода КАД с подключением международного автомобильного вокзала в состав ТПУ "Девяткино") (Подрядчик АО ПО Возрождение)</t>
  </si>
  <si>
    <t xml:space="preserve"> Гос. контракт на выполнение строительно-монтажных работ и работ по сопровождению объекта заключен в 2017г., сроком до 2020 года. Ввод объекта в эксплуатацию в 2020г. - 1,88 км</t>
  </si>
  <si>
    <t>Стр-во автомобильной дороги от кольцевой автомобильной дороги вокруг Санкт-Петербурга до автомобильной дороги "Санкт-Петербург"-Матокса (платная скоростная автомобильная дорога)</t>
  </si>
  <si>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объекта. Объект не обеспечен финансированием (стоимость объекта 5,5 млрд. руб.). В 2019г. проектно-сметная документация сдана для прохождения государственной экспертизы. Бюджетные ассигнования на 2020-2022г.г. предусмотрены на софинансирование объекта. </t>
  </si>
  <si>
    <t>Основное мероприятие "Повышение эффективности осуществления дорожной деятельности"</t>
  </si>
  <si>
    <t>Разработка программы комплексного развития транспортной инфраструктуры Ленинградской области до 2030 года</t>
  </si>
  <si>
    <t>Строительство автомобильной дороги, расположенной по адресу: Ленинградская область, Тосненский район, г.Тосно, дорога к стадиону от региональной автодороги "Кемполово-Губаницы-Калитино-Выра-Тосно-Шапки", в том числе  СМР</t>
  </si>
  <si>
    <t>неосвоение</t>
  </si>
  <si>
    <t xml:space="preserve"> Федеральный проект "Региональная и местная дорожная сеть"</t>
  </si>
  <si>
    <t xml:space="preserve">Строительство автомобильных дорог общего пользования регионального и межмуниципального значения.  </t>
  </si>
  <si>
    <t>3.1.1</t>
  </si>
  <si>
    <t>Стр-во транспортной развязки на пересечении а/дороги "СПб-з-д им.Свердлова- Всеволожск (км39) с железной дорогой на  перегоне Всеволожск-Мельничный Ручей во Всеволож. р-не Лен. области, всего, в т.ч:</t>
  </si>
  <si>
    <t>Объект финансируется в рамках национального проекта "Безопасные и качественные автомобильные дороги" Федеральный проект "Дорожная сеть". Стоимость объекта 1,7 млрд. руб. Государственный контракт на выполнение строительно-монтажных работ (подрядчик - ЗАО "АБЗ-Дорстрой") и работ по сопровождению объекта заключен в 2018г., сроком до 2022г. Бюджетные ассигнования на 2020-2022г.г. предусмотрены на продолжение строительно-монтажных работ и работ по сопровождению объекта. Ввод объекта в эксплуатацию в 2022г. - 1,3км/79,2пог.м.</t>
  </si>
  <si>
    <t>3.1.2</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</si>
  <si>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 всего, в т.ч:</t>
  </si>
  <si>
    <t>Стоимость объекта 15,2 млрд. руб., в т.ч. 1 этапа - 2,4 млрд. руб.  Государственный контракт на выполнение строительно-монтажных работ (подрядчик - АО "ПО "Возрождение") и работ по сопровождению объекта заключен в 2018г., сроком до 2024г. Бюджетные ассигнования на 2020-2022г.г. предусмотрены на продолжение строительно-монтажных работ и работ по сопровождению объекта. Ввод объекта в эксплуатацию в 2024г. - 2,26 км</t>
  </si>
  <si>
    <t>4.1.2</t>
  </si>
  <si>
    <t xml:space="preserve">Подключение международного автомобильного вокзала в составе ТПУ "Девяткино" к КАД (стр-во транспортной развязки на км 30+717 прямого хода КАД с подключением международного автомобильного вокзала в состав ТПУ "Девяткино") </t>
  </si>
  <si>
    <t>Стоимость объекта 975,7 млн. руб. Государственный контракт на выполнение строительно-монтажных работ (подрядчик - АО "ПО "Возрождение") и работ по сопровождению объекта заключен в 2017г., сроком до 2020г. Бюджетные ассигнования на 2020г. предусмотрены на завершение строительно-монтажных работ и работ по сопровождению объекта.  Ввод объекта в эксплуатацию в 2020г. - 1,438 км</t>
  </si>
  <si>
    <t xml:space="preserve">ВСЕГО по Подпрограмме 1  (п.1+п.2+п.3)                                                                                                                               </t>
  </si>
  <si>
    <t>ё</t>
  </si>
  <si>
    <t>Подпрограмма 2     «Поддержание существующей сети автомобильных дорог общего пользования»</t>
  </si>
  <si>
    <t>Основное мероприятие "Содержание, капитальный ремонт и ремонт автомобильных дорог общего пользования регионального и межмуниципального значения"</t>
  </si>
  <si>
    <t>622 01 00000</t>
  </si>
  <si>
    <t>Содержание а/д общего пользования регионального и межмуниципального значения</t>
  </si>
  <si>
    <t xml:space="preserve">62201 10100 244 62020800 </t>
  </si>
  <si>
    <t xml:space="preserve">'Объем бюджетных ассигнований на нормативно-регламентные работы по содержанию рег. а/дорог на 2021-2022 годы соответствует принятым расходным обязательствам по заключенным государственным контрактам  на 2021г. и 2022г. (гос. контракт до 31.08.2022г.) - 3,1 млрд. руб. ежегодно, а также рассчитан в объеме потребности, исходя из возможностей бюджета Ленинградской области. 'Объем бюджетных ассигнований по прочим работам по содержанию а/д рассчитан в объеме потребности, исходя из возможностей бюджета Ленинградской области. </t>
  </si>
  <si>
    <t>всего по 225</t>
  </si>
  <si>
    <t>нормативно-регламентные работы</t>
  </si>
  <si>
    <t>225</t>
  </si>
  <si>
    <t>Прочие СМР (225)</t>
  </si>
  <si>
    <t>прочие (КОСГУ 223)</t>
  </si>
  <si>
    <t>Концепция развития дорожной деятельности в сфере содержания автомобильных дорог общего пользования регионального и межмуниципального значения за счет средств Гранта ЕС</t>
  </si>
  <si>
    <t>Капитальный ремонт а/д общего пользования регионального и межмуниципального значения</t>
  </si>
  <si>
    <t xml:space="preserve">62201 10110 243 62021100 </t>
  </si>
  <si>
    <t>'Объем бюджетных ассигнований на 2017 год соответствует принятым расходным обязательствам по заключенным государств. контрактам, а также расчитан исходя из возможностей бюджета Ленинградской области и составляет 3,5% от норматива. При этом, норматив финансовых затрат, утв. пост. Пр-ва ЛО от 16.12.2013г. №467 на 2017 год составляет 19% или 4 526 888,0 тыс. руб. Недостаток денежных средств составляет 3 695 596,8 тыс. руб. Ввод в эксплуатацию 14,137км.</t>
  </si>
  <si>
    <t>'Объем бюджетных ассигнований на 2017 год соответствует принятым расходным обязательствам по заключенным государственным контрактам  на объекты капитального ремонта рег. а/дорог, а также расчитан исходя из норматива финансовых затрат, утв. пост. Пр-ва ЛО от 16.12.2013г. №467 на 2017 год, который составляет 19%.</t>
  </si>
  <si>
    <t xml:space="preserve">Адресная программа  кап. ремонта а/д. </t>
  </si>
  <si>
    <t>СМР-ОБ</t>
  </si>
  <si>
    <t xml:space="preserve">225 </t>
  </si>
  <si>
    <t>Приведение в нормативное состояние отдельных участков региональных а/д</t>
  </si>
  <si>
    <t xml:space="preserve">62201 10120 244 62021100 </t>
  </si>
  <si>
    <t xml:space="preserve">Расходные обязательства принимаются на основании распоряжений Губернатора Ленинградской  области и направляются на ликвидацию последствий непреодолимой силы, в том числе природного или техногенного характера в размере до 3% от общего финансир-я мероприятий гос. программы "Развитие а/дорог Ленинградской области" . </t>
  </si>
  <si>
    <t>уточнение расходов в связи с перераспределением на другие мероприятия ГП</t>
  </si>
  <si>
    <t>Расходные обязательства принимаются на основании распоряжений Губернатора Ленинградской  области и направляются на ликвидацию последствий непреодолимой силы, в том числе природного или техногенного характера.</t>
  </si>
  <si>
    <t>СМР</t>
  </si>
  <si>
    <t xml:space="preserve">                                 ПИР, прочие </t>
  </si>
  <si>
    <t>а/д "Копорье-Ручьи" на участке км  0+00 - км 11+500 в Ломоносовском и Кингисеппском районах (11,703 км)</t>
  </si>
  <si>
    <t xml:space="preserve">ПИР, прочие </t>
  </si>
  <si>
    <t>Ремонт а/д общего пользования регионального и межмуниципального значения</t>
  </si>
  <si>
    <t xml:space="preserve">62201 12750 244 62021000 </t>
  </si>
  <si>
    <t>'Объем бюджетных ассигнований на 2017 год соответствует принятым расходным обязательствам по заключенным государственным контрактам, а также расчитан исходя из возможностей бюджета Ленинградской области и составляет 14,7% от норматива. При этом, норматив финансовых затрат, утв. пост. Пр-ва ЛО от 16.12.2013г. №467 на 2017 год составляет 19% или 1 380 240,0 тыс. руб. Недостаток денежных средств составляет 309 073,7 тыс. руб. Ввод в эксплуатацию 85,601км/100 п.м.</t>
  </si>
  <si>
    <t xml:space="preserve">Адресная программа  ремонта а/д. </t>
  </si>
  <si>
    <t>СМР по а/д с тв.покрытием к сельск.нас.пунктам</t>
  </si>
  <si>
    <t xml:space="preserve">Бюджетные ассигнования запланированы в соответствии с проектом паспорта регионального проекта Ленинградской области  «Дорожная сеть» в рамках национального проекта "Безопасные и качественные автомобильные дороги". Реализация проекта до 31.12.2024г. Адресная программа  ремонта а/д. </t>
  </si>
  <si>
    <t>Основное мероприятие "Капитальный ремонт и ремонт автомобильных дорог общего пользования местного значения", в том числе:  (Субсидии МО)</t>
  </si>
  <si>
    <t>62202 00000 521 251</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</si>
  <si>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- 2,0 км.</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</si>
  <si>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- 2,5 км.</t>
  </si>
  <si>
    <t>Субсидии на ремонт а/д общего пользования местного значения</t>
  </si>
  <si>
    <t xml:space="preserve">62202 70140 521 251 62021400 </t>
  </si>
  <si>
    <t>Бюджетные ассигнования запланированы в 2021г.-400 000,0 тыс. руб. на предоставление субсидии на ремонт а/д общего пользования местного значения по протяженности а/д</t>
  </si>
  <si>
    <t>в т.ч.  а)  кап.рем.и ремонт  а/д</t>
  </si>
  <si>
    <t>б) к.р. и рем. а/д с тв.покр. к нас.пунктам</t>
  </si>
  <si>
    <t>6227014 521 251 62020500 (1043)</t>
  </si>
  <si>
    <t>Субсидии на капитальный ремонт и ремонт а/д общего пользования местного значения, имеющих приоритетный социально значимый характер</t>
  </si>
  <si>
    <t>62202 74200 521 251 62021401</t>
  </si>
  <si>
    <t>Бюджетные ассигнования запланированы в размере: в 2021г. - 452 734,6 тыс. руб., в 2022г. - 937 972,3 тыс. руб., в 2023г. - 761 787,2 тыс. руб.на проведение конкурсного отбора для финансирования объектов дорожной инфраструктуры.</t>
  </si>
  <si>
    <t xml:space="preserve">Кап. ремонт и ремонт дворовых террриторий  и проездов к двор.тер. </t>
  </si>
  <si>
    <t>Основное мероприятие "Техническое оснащение, постановка на кадастровый учет объектов недвижимости в целях гос. регистрации прав, функционирование гос. казенных учреждений для обеспечения дорожной деятельности"</t>
  </si>
  <si>
    <t>62203 00000</t>
  </si>
  <si>
    <t>Обеспечение деятельности (услуги, работы) государственных учреждений  ГКУ "Ленавтодор" и ГКУ "Центр безопасности дорожного движения"</t>
  </si>
  <si>
    <t>62203 00160</t>
  </si>
  <si>
    <t>Смета ГКУ "Ленавтодор" на 2017г. согласно расчета по статьям затрат</t>
  </si>
  <si>
    <t>Проекты бюджетных смет  ГКУ "Ленавтодор"  и  ГКУ ЛО "Центр безопасности дорожного движения" с обоснованиями на 2021г.-2023г.</t>
  </si>
  <si>
    <t>Обеспечение деятельности (услуги, работы) государственных учреждений  ГКУ "Ленавтодор" за счет средств Гранта ЕС</t>
  </si>
  <si>
    <t>Бюджетные ассигнования на 2021г. запланированы в размере 1 890,3 тыс. руб., в т.ч.: на управление Проектом - 1 620,3 тыс. руб., на аудит  Проекта - 225,0 тыс. руб., на связь с общественностью, публикации, связанные с реализацией Проекта - 45,0 тыс. руб.,  в соответствии с Договором о предоставлении Гранта № 1803112-KS1608 и сметой бюджета проекта</t>
  </si>
  <si>
    <t>Приобретение дорожной техники и другого имущества, необходимого для функционирования и содержания а/д и обеспечения контроля качества выполненных дорожных работ</t>
  </si>
  <si>
    <t>62203 10150 244 310</t>
  </si>
  <si>
    <t>Бюджетные ассигнования на 2017 год по данному мероприятию не предусмотрены.</t>
  </si>
  <si>
    <t>Бюджетные ассигнования на 2017 год расчитаны исходя из потребности в дорожной технике.</t>
  </si>
  <si>
    <t>Ежегодный прирост численности парка дорожной техники и другого имущества, необходимого для содержания а/д и обеспечения контроля качества выполненных дорожных работ в 2022г.-2023г - 2ед.</t>
  </si>
  <si>
    <t>Приобретение дорожной техники и другого имущества, необходимого для функционирования и содержания а/д и обеспечения контроля качества выполненных дорожных работ за счет средств Гранта ЕС</t>
  </si>
  <si>
    <t>Бюджетные ассигнования на 2021г. запланированы в размере  9 000,0 тыс. руб. на закупку оборудования для содержания автомобильных дорог общего пользования регионального и межмуниципального значения в соответствии с Договором о предоставлении Гранта № 1803112-KS1608 и сметой бюджета проекта</t>
  </si>
  <si>
    <t>Субсидии юридическим лицам на финансовое обеспечение затрат при приобретении дорожной техники и иного имущества, необходимого для функционирования и содержания автомобильных дорог, по договорам финансовой аренды (лизинга).</t>
  </si>
  <si>
    <r>
      <t>Бюджетные ассигнования на 2021г. запланированы в размере  246 607,5 тыс. руб. Предоставление субсидий юридическим лицам на финансовое обеспечение затрат при приобретении дорожной техники и иного имущества, необходимого для функционирования и содержания автомобильных дорог, по договорам финансовой аренды (лизинга) запланировано сроком на 3 года (2019г.-2021г.) юридическим лицам, прошедшим ежегодный конкурсный отбор, в соответствии с критериями, установленными Порядком, утвержденным Постановлением Правительства Ленинградской области от 27.06.2019г. №292.  Бюджетные ассигнования на 2022-2023г.г. запланированы в размере 100 000,0 тыс. руб. ежегодно,</t>
    </r>
    <r>
      <rPr>
        <b/>
        <i/>
        <sz val="12"/>
        <color rgb="FFFF0000"/>
        <rFont val="Arial Cyr"/>
        <charset val="204"/>
      </rPr>
      <t xml:space="preserve"> </t>
    </r>
    <r>
      <rPr>
        <b/>
        <i/>
        <sz val="12"/>
        <rFont val="Arial Cyr"/>
        <charset val="204"/>
      </rPr>
      <t xml:space="preserve">при этом прирост численности парка дорожной техники составит 37ед. (ориентировочная стоимость КДМ - 8 000,0 тыс. руб.) </t>
    </r>
  </si>
  <si>
    <t>Субсидии юридическим лицам на осуществление капитальных вложений в объекты недвижимого имущества (проектирование и строительство производственной базы в Ломоносовском районе Лен. области)</t>
  </si>
  <si>
    <t>Кадастровые работы</t>
  </si>
  <si>
    <t>62203 10160 244 226</t>
  </si>
  <si>
    <t>'Объем бюджетных ассигнований на 2017 год соответствует принятым расходным обязательствам по заключенным государственным контрактам  на кадастровые работы.</t>
  </si>
  <si>
    <r>
      <t xml:space="preserve">'Объем бюджетных ассигнований на 2017 год соответствует принятым расходным обязательствам по заключенным государственным контрактам  на кадастровые работы </t>
    </r>
    <r>
      <rPr>
        <b/>
        <i/>
        <u/>
        <sz val="14"/>
        <color rgb="FF002060"/>
        <rFont val="Arial Cyr"/>
        <charset val="204"/>
      </rPr>
      <t xml:space="preserve">и вновь начинаемым объектам. </t>
    </r>
  </si>
  <si>
    <t>Доля протяженности а/д, поставленных на учет в государственном кадастре недвижимости в 2022г. - 100%.</t>
  </si>
  <si>
    <t>Федеральный проект "Общесистемные меры развития дорожного хозяйства"</t>
  </si>
  <si>
    <t>Основное мероприятие «Обеспечение транспортной безопасности объектов транспортной инфраструктуры Ленинградской области»</t>
  </si>
  <si>
    <t>Исполнение требований Федерального закона от 09.02.2007 N 16-ФЗ "О транспортной безопасности" (доклад от 20.06.2019г. №07-723/2019)</t>
  </si>
  <si>
    <t>Оценка уязвимости объектов транспортной инфраструктуры ЛО</t>
  </si>
  <si>
    <t>1 этап</t>
  </si>
  <si>
    <t>Разработка и утверждение планов обеспечения транспортной безопасности объектов транспортной инфраструктуры ЛО</t>
  </si>
  <si>
    <t>2 этап</t>
  </si>
  <si>
    <t>Разработка и реализация проектов оснащения объектов транспортной инфраструктуры Ленинградской области техническими средствами</t>
  </si>
  <si>
    <t>3 этап</t>
  </si>
  <si>
    <t>смр</t>
  </si>
  <si>
    <t>прочие</t>
  </si>
  <si>
    <t xml:space="preserve">ВСЕГО по Подпрограмме 2                                                 </t>
  </si>
  <si>
    <t xml:space="preserve">Подпрограмма 3.  "Повышение безопасности дорожного движения и снижение негативного влияния транспорта на окружающую среду".                </t>
  </si>
  <si>
    <t>Основное мероприятие "Сокращение аварийности на участках концентрации дорожно-транспортных происшествий инженерными методами" (ГКУ Ленавтодор, ГКУ ЦБДД)</t>
  </si>
  <si>
    <t>62302 13150 240</t>
  </si>
  <si>
    <t xml:space="preserve">Подпрограмма направлена на предотвращение ДТП с сопутствующими дорожными условиями. </t>
  </si>
  <si>
    <t>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t>
  </si>
  <si>
    <t>работы капитального ремонта а/д</t>
  </si>
  <si>
    <t>62302 13150 243</t>
  </si>
  <si>
    <t xml:space="preserve">  СМР</t>
  </si>
  <si>
    <t>243 255</t>
  </si>
  <si>
    <t>243 226</t>
  </si>
  <si>
    <t>Устройство светофорных объектов</t>
  </si>
  <si>
    <t>Устройство пунктов весового контроля</t>
  </si>
  <si>
    <t>работы ремонта а/д, содержания а/д</t>
  </si>
  <si>
    <t>244</t>
  </si>
  <si>
    <t>244 255</t>
  </si>
  <si>
    <t>Обустройство автобусных остановок</t>
  </si>
  <si>
    <t>'Объем бюджетных ассигнований на 2017 год  расчитан исходя из возможностей бюджета Ленинградской области.</t>
  </si>
  <si>
    <t>'Объем бюджетных ассигнований на 2017 год  расчитан в объеме потребности на мероприятия данной  подпрограммы.</t>
  </si>
  <si>
    <t>Нанесение дорожной разметки</t>
  </si>
  <si>
    <t>Ликвидация мест концентрации ДТП</t>
  </si>
  <si>
    <t>Разработка ПОДД</t>
  </si>
  <si>
    <t>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ЦБДД)</t>
  </si>
  <si>
    <t xml:space="preserve">Федеральный проект "Общесистемные меры развития дорожного хозяйства". </t>
  </si>
  <si>
    <t>Бюджетные ассигнования запланированы в соответствии с проектом паспорта регионального проекта Ленинградской области «Общесистемные меры развития дорожного хозяйства» в рамках национального проекта "Безопасные и качественные автомобильные дороги"  - 63 432,1 тыс. руб. ежегодно. Реализация проекта до 31.12.2024г.</t>
  </si>
  <si>
    <t>Федеральный проект "Региональная и местная дорожная сеть"</t>
  </si>
  <si>
    <t>Бюджетные ассигнования запланированы в соответствии с проектом паспорта регионального проекта Ленинградской области  «Дорожная сеть» в рамках национального проекта "Безопасные и качественные автомобильные дороги" - 20 000,0 тыс. руб. ежегодно. Реализация проекта до 31.12.2024г.</t>
  </si>
  <si>
    <t xml:space="preserve">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 </t>
  </si>
  <si>
    <t>КВР 244 СМР Ликвидация мест концентрации ДТП</t>
  </si>
  <si>
    <t xml:space="preserve">Федеральный проект  "Безопасность дорожного движения" </t>
  </si>
  <si>
    <t>Бюджетные ассигнования запланированы в соответствии с паспортом регионального проекта Ленинградской области  «Дорожная сеть» в рамках национального проекта "Безопасные и качественные автомобильные дороги". Реализация проекта до 31.12.2024г.</t>
  </si>
  <si>
    <t xml:space="preserve">ВСЕГО по Подпрограмме 3                                            </t>
  </si>
  <si>
    <t>Всего по ГП "Развитие транспортной системы ЛО" :</t>
  </si>
  <si>
    <t xml:space="preserve">II. ГП  "Комплексное развитие сельских территорий Ленинградской области" </t>
  </si>
  <si>
    <t>Подпрограмма "Развитие транспортной инфраструктуры и благоустройство сельских территорий Ленинградской области" (Субсидии МО+ГКУ Ленавтодор) п.15.1 - п.15.3</t>
  </si>
  <si>
    <t xml:space="preserve">63704 74290 522 251  63070500   </t>
  </si>
  <si>
    <t>Объем бюджетных ассигнований на 2017г. расчитан исходя из заявок Администраций МО, согласно приложению. Планируемый ввод в эксплуатацию а/дорог местного значения с твердым покрытием в сельской местности в 2017 году - 1,8 км.</t>
  </si>
  <si>
    <t>Субсидии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(Субсидии МО ОБ)</t>
  </si>
  <si>
    <t xml:space="preserve"> Строительство а/д "Подъезд к дер. Козарево" по адресу: ЛО, Волховский район (5,667 км)-Волховский муниципальный район</t>
  </si>
  <si>
    <t>Бюджетные ассигнования предусмотрены на завершение работ и ввод объекта в эксплуатацию 5,667км в 2021г. Перенос лимитов финансирования и сроков реализации вызвано необходимостью оформления земельных участков лесного фонда в собственность МО.</t>
  </si>
  <si>
    <t>15.1.2</t>
  </si>
  <si>
    <t>Строительство 2-х подъездных путей к строящемуся объекту: "Строительство общеобразовательной школы на 220 мест в д.Большая Пустомержа Кингисеппского района ЛО" по адресу: ЛО, Кингисеппский район, д. Большая Пустомержав Кингисеппском районе ЛО (0,36357 км)-Пустомержское сельское поселение Кингисеппского муниципального района</t>
  </si>
  <si>
    <t>На основании заявки  МО Пустомержское селькое поселение и ходатайства Кингисеппского мунициального района в Федеральное дорожное агентство  подана заявка на получение субсидий из федерального бюджета в 2020 году в размере 10 960,0 тыс. руб. При направлении в бюджет ЛО субсидий из федерального бюджета, объем средств будет уменьшен до 12 140,0 тыс. руб. (Уровень софинансирования до проведения аукционных процедур и заключения муниципального контракта за счет средств федерального бюджета составит 47%, за счет средств областного бюджета составит 53%).</t>
  </si>
  <si>
    <t>Реконструкция  автодороги "Подъезд к п. Михалево" (Администрация МО "Каменногорское ГП" Выборгского района)</t>
  </si>
  <si>
    <t>В 2020г. бюджетные ассигнования предусмотрены на начало строительно-монтажных работ на объекте. Бюджетные ассигнования на 2021-2022г. запланированы на продолжение строительно-монтажных работ на объекте.  Ввод объекта в эксплуатацию запланирован  в 2022 г. - 1,633 км</t>
  </si>
  <si>
    <t>15.1.4</t>
  </si>
  <si>
    <t>нераспределенные средства</t>
  </si>
  <si>
    <t>Строительство автомобильной дороги "Подъезд к пос. Яшино" по адресу: Ленинградская область, Выборгский район, Селезневское сельское поселение"</t>
  </si>
  <si>
    <t xml:space="preserve">Объект ранее финансировался с привлечением средств областного бюджета и был включен в АИП ЛО. Потребовалась корректировка проекта за счет МО. В настоящее время проект проходит гос. экспертизу. Плановый срок реализации - 2022-2023г.г. </t>
  </si>
  <si>
    <t xml:space="preserve">В соответствии с проектом Федерального закона "О федеральном бюджете на 2021 год и на плановый период 2022 и 2023 годов", проектом Соглашения о предоставлении субсидии из федерального бюджета бюджету субъекта РФ между Федеральным дорожным агентством и Правительством Лен. области от 23.09.2020г. №П-108-09-2021-019 в государственной интегрированной  информационной системе управления общественными финансами "Электронный бюджет " предусмотрены бюджетные ассигнования за счет средств федерального (67%) и областного бюджета (33%) на софинансирование объекта реконструкции а/д "Подъезд к п. Михалево" с вводом в эксплуатацию объекта в 2022г. - 1,633 км (Каменногорское городское поселение Выборгского района). В 2023г. средства не распределены на объекты </t>
  </si>
  <si>
    <t>нераспределенные средства федерального бюджета</t>
  </si>
  <si>
    <t>нераспределенные средства областного бюджета</t>
  </si>
  <si>
    <t>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(заказчик ГКУ Ленавтодор")</t>
  </si>
  <si>
    <t>Бюджетные ассигнования на 2021г и 2022г. предусмотрены на финансирование СМР на объектах, включенных в план 2021-2022 года</t>
  </si>
  <si>
    <t>Финансирование строительства, включая проектирование, автомобильной дороги от п. Новый Быт Кировского района до д. Козарево Волховского района Ленинградской области</t>
  </si>
  <si>
    <t xml:space="preserve">В 2020г. бюджетные ассигнования предусмотрены на выполнение проектно-изыскательских работ с последующим прохождением государственной экспертизы проекта. Объемы финансирования в разрезе объектов и источники финансирования будут определены после получения положительного заключения гос. экспертизы проекта. </t>
  </si>
  <si>
    <t xml:space="preserve">Финансирование реконструкции, включая проектирование, автомобильной дороги "Путилово-Поляны" в Кировском районе Ленинградской области </t>
  </si>
  <si>
    <t xml:space="preserve">В 2020г. бюджетные ассигнования предусмотрены на выполнение проектно-изыскательских работ с последующим прохождением государственной экспертизы проекта.  Объемы финансирования в разрезе объектов и источники финансирования будут определены после получения положительного заключения гос. экспертизы проекта. </t>
  </si>
  <si>
    <t xml:space="preserve">Финансирование реконструкции, включая проектирование, автомобильной дороги "13 км автодороги "Магистральная" - ст. Апраксин" в Кировском районе Ленинградской области </t>
  </si>
  <si>
    <t xml:space="preserve">Финансирование реконструкции, включая проектирование, автомобильной дороги "Петрово - станция Малукса" в Кировском районе Ленинградской области </t>
  </si>
  <si>
    <t xml:space="preserve">Финансирование реконструкции, включая проектирование, автомобильной дороги "Подъезд к п. Неппово" в Кингисеппском районе Ленинградской области </t>
  </si>
  <si>
    <t>III. Резервный фонд Правительства Ленинградской области.</t>
  </si>
  <si>
    <t>Бюджету МО ЛО г. Выборг на выполнение работ по проектированию капитального ремонта
ул. Парковой в г. Выборге</t>
  </si>
  <si>
    <t>Непрограммные расходы - исполнение судебных решений, административных штрафов</t>
  </si>
  <si>
    <t xml:space="preserve">0113 6890112790 </t>
  </si>
  <si>
    <t xml:space="preserve">Объем бюджетных ассигнований на 2017 год соответствует объему бюджетных ассигнований, предусмотренных на 2016г. </t>
  </si>
  <si>
    <t>бюджетные ассигнования на непрограммные расходы запланированы на уровне 2020 года</t>
  </si>
  <si>
    <t xml:space="preserve"> 831 290</t>
  </si>
  <si>
    <t>853 290 и 852 290</t>
  </si>
  <si>
    <t>Налог на имущество организаций (недвижимое имущество, числящееся на балансе ГКУ Ленавтодор (а/д, встроенные помещения)</t>
  </si>
  <si>
    <t xml:space="preserve">в т. ч Дорожный фонд ЛО </t>
  </si>
  <si>
    <t>в т.ч. Дорожный фонд за счет средств федерального бюджета:</t>
  </si>
  <si>
    <t xml:space="preserve"> Дорожный фонд ЛО - ОБ</t>
  </si>
  <si>
    <t>из средств Дорожного фонда, всего  субсидии бюджетам   МО</t>
  </si>
  <si>
    <t>Председатель  Комитета по дорожному хозяйству Ленинградской области</t>
  </si>
  <si>
    <t>Д.С. Седов</t>
  </si>
  <si>
    <t>% от лимита года</t>
  </si>
  <si>
    <t>КВР 831 КОСГУ 296</t>
  </si>
  <si>
    <t>КВР 831 КОСГУ 297</t>
  </si>
  <si>
    <t>КВР 853 КОСГУ 295</t>
  </si>
  <si>
    <t>КВР 244 КОСГУ 226</t>
  </si>
  <si>
    <t>10.4</t>
  </si>
  <si>
    <t>Сопровождение информационных систем</t>
  </si>
  <si>
    <t>Развитие информационных систем</t>
  </si>
  <si>
    <t>Обеспечение каналов связи для передачи информации, полученной стационарными комплексами автоматической фото-видеофиксации нарушений ПДД РФ, в центр обработки данных</t>
  </si>
  <si>
    <t>Страхование стационарных комплексов автоматической фото-видеофиксации нарушений ПДД РФ</t>
  </si>
  <si>
    <t>Пересылка копий постановлений и материалов дел об административных правонарушениях ПДД РФ</t>
  </si>
  <si>
    <t>Предпочтовая подготовка копий постановлений и материалов дел об административных правонарушениях ПДД РФ</t>
  </si>
  <si>
    <t>услуги по передаче электроэнергии</t>
  </si>
  <si>
    <t>в т.ч. за счет отработки дебиторской задолженности за счет средств федерального бюджета на 01.01.2021г.</t>
  </si>
  <si>
    <t>Заключено гос. контрактов, Соглашений на лимит 2021г. (тыс.руб.)</t>
  </si>
  <si>
    <r>
      <t xml:space="preserve">Ведется работа совместно с Федеральным дорожным агентством по привлечению средств из  федерального бюджета для софинансирования строительства. Ориентировочная стоимость объекта 1,6 млрд. руб. Бюджетные ассигнования предусмотрены как софинансирование объекта. В 2016 году предусмотрены расходы на разработку проектной документации, экспертизу, землеустроительные и кадастровые работы и начало строительно-монтажных работ. </t>
    </r>
    <r>
      <rPr>
        <b/>
        <i/>
        <u/>
        <sz val="14"/>
        <rFont val="Arial"/>
        <family val="2"/>
        <charset val="204"/>
      </rPr>
      <t>Дополнтельное финансирование на начало строительно-монтажных работ.</t>
    </r>
  </si>
  <si>
    <t>Проект строительства путепровода был ранее разработан с привлечением средств субсидий. В настоящее время проводятся работы по его корректировке. Предполагаемая стоимость строительства Объекта составляет 2030,31188 тыс.руб. Учитывая значительный объем бюджетных средств на реализацию строительства объекта дорожной инфраструктуры МО Город Выборг  потребуются дополнительные средства областного бюджета.</t>
  </si>
  <si>
    <t xml:space="preserve">Заявка МО. Неоднократные обращения администрации МО Гатчинский МР в Правительство ЛО. Строительство участка автодороги позволит обеспечить подъезд к вновь построенной поликлинике.  Начало работ в 2018г., завершение в 2021г. Ввод объекта в эксплуатацию в 2021г. - 0,853 км. Увеличение стоимости строительства объекта обусловлено проведенной  корректировкой проектно-сметной документации, по результатам получения положительного заключения государственной экспертизы. </t>
  </si>
  <si>
    <t>12</t>
  </si>
  <si>
    <t>13</t>
  </si>
  <si>
    <t>16</t>
  </si>
  <si>
    <t>Установка программно-аппаратных комплексов по контролю за дорожным движением  на автомобильных дорогах общего пользования регионального значения ЛО</t>
  </si>
  <si>
    <t xml:space="preserve">нераспределенные средства областного бюджета </t>
  </si>
  <si>
    <t>Возмещение стоимости сносимых строений при изъятии (выкупе) земельных участков (КОСГУ 299)</t>
  </si>
  <si>
    <r>
      <t>из средств Дорожного фонда, всего  субсидии бюджетам  МО (ОБ+</t>
    </r>
    <r>
      <rPr>
        <b/>
        <i/>
        <sz val="14"/>
        <color rgb="FFFF0000"/>
        <rFont val="Arial Cyr"/>
        <charset val="204"/>
      </rPr>
      <t>ФБ</t>
    </r>
    <r>
      <rPr>
        <b/>
        <i/>
        <sz val="14"/>
        <color rgb="FF7030A0"/>
        <rFont val="Arial Cyr"/>
        <charset val="204"/>
      </rPr>
      <t>)</t>
    </r>
  </si>
  <si>
    <t>Всего  субсидии бюджетам   МО (ОБ+ФБ)</t>
  </si>
  <si>
    <r>
      <t xml:space="preserve"> всего  субсидии бюджетам  МО (ОБ+</t>
    </r>
    <r>
      <rPr>
        <b/>
        <i/>
        <sz val="14"/>
        <color rgb="FFFF0000"/>
        <rFont val="Arial Cyr"/>
        <charset val="204"/>
      </rPr>
      <t>ФБ</t>
    </r>
    <r>
      <rPr>
        <b/>
        <i/>
        <sz val="14"/>
        <color rgb="FF7030A0"/>
        <rFont val="Arial Cyr"/>
        <charset val="204"/>
      </rPr>
      <t>)</t>
    </r>
  </si>
  <si>
    <t>СМР-неисполненный Грант 2020г. за счет ФБ</t>
  </si>
  <si>
    <t xml:space="preserve">КВР 243 СМР Тех. перевооружение участка а/д "Санкт-Петербург-Матокса" </t>
  </si>
  <si>
    <t xml:space="preserve">Разработка проектно-сметной документации                                       на реконструкцию автомобильной дороги общего пользования местного значения       «Лемовжа - Гостятино» в Волосовском районе Ленинградской области  </t>
  </si>
  <si>
    <t>Реконструкция мостового перехода через р. Саба в дер. Малый Сабск  по адресу: деревня Малый Сабск Волосовского муниципального района Ленинградской области</t>
  </si>
  <si>
    <t>Реконструкция участка автомобильной дороги по ул. Скворцова г.п. им. Морозова, включая разработку проектно-сметной документации</t>
  </si>
  <si>
    <t>Строительство 1 этапа улично-дорожной сети по адресу: Ленинградская область, г. Всеволожск, Южный жилой район, кварталы 2,3,4,5,6,7,8. Улица Московская</t>
  </si>
  <si>
    <t xml:space="preserve">Реконструкция "Подъезд  к музею "Дом станционного смотрителя" в д. Выра  от а/д "Кемполово - Выра - Тосно - Шапки" по адресу: Ленинградская область, Гатчинский район,  МО "Рождественское сельское поселение", дер. Выра </t>
  </si>
  <si>
    <t xml:space="preserve">Строительство пешеходного мостового перехода через р. Оредеж в дер. Даймище                                           на территории Рождественского сельского поселения Гатчинского муниципального района Ленинградской области </t>
  </si>
  <si>
    <t>Строительство участка автомобильной дороги от автомобильной дороги "Мины-Новинка" до дер. Клетно,  в том числе проектно-изыскательские работы</t>
  </si>
  <si>
    <t>Строительство автомобильной дороги, расположенной по адресу: Ленинградская область, Тосненский район, г.Тосно, дорога к стадиону от региональной автодороги "Кемполово-Губаницы-Калитино-Выра-Тосно-Шапки", в том числе проектно-изыскательское работы - 3 млн. руб., СМР - 1 млн. руб.</t>
  </si>
  <si>
    <t>Строительство парковки легкового и пассажирского транспорта у мемориала "Разорванное кольцо" во Всеволожском районе" на участке км 38-км 40 а/д общего пользования регионального значения "Санкт-Петербург-Морье" во Всеволожском районе</t>
  </si>
  <si>
    <t>1.1.10</t>
  </si>
  <si>
    <t>КВР 246 КОСГУ 226</t>
  </si>
  <si>
    <t>Устройство элементов обустройства а/д</t>
  </si>
  <si>
    <t>ПИР</t>
  </si>
  <si>
    <t xml:space="preserve">Приобретение программно-аппаратного комплекса  ViPNet xFirewall </t>
  </si>
  <si>
    <t>Приобретение дистрибутива и комплекта для установки средств защиты информации</t>
  </si>
  <si>
    <t>СМР за счет отработки дебиторской задолженности за счет средств областного бюджета на 01.01.2021г.</t>
  </si>
  <si>
    <t>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</si>
  <si>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Устройство наружного электроосвещения и тротуаров</t>
  </si>
  <si>
    <t>Утвержденный бюджет на 2021г.  (ОЗ от 22.12.2020г. №143-оз в ред. от 25.06.2021г. №77-оз (тыс.руб.)</t>
  </si>
  <si>
    <t>федеральный проект "Региональная и местная дорожная сеть", всего, в т.ч.:</t>
  </si>
  <si>
    <t>за счет средств федерального бюджета АГЛОМЕРАЦИЯ</t>
  </si>
  <si>
    <t xml:space="preserve"> Ремонт а/д общего пользования местного значения АГЛОМЕРАЦИЯ</t>
  </si>
  <si>
    <t>Реконструкция автомобильной дороги "Подъезд к многофункциональному музейному центру в с. Рождествено от а/д М-20 Санкт-Петербург - Псков" по адресу: Ленинградская область, Гатчинский район, с. Рождествено (0,41 км)</t>
  </si>
  <si>
    <t>Строительство улицы Гидротехников от ул. Центральной до ул. Серафимовской по адресу: Ленинградская область,Ломоносовский район, Аннинское городское поселение, г.п. Новоселье</t>
  </si>
  <si>
    <t>Резервный фонд Правительства Лен. области</t>
  </si>
  <si>
    <t>СМР по соглашению с Русхимальянс</t>
  </si>
  <si>
    <t>СМР по соглашению с Сисисевен</t>
  </si>
  <si>
    <t>Восстановление перех. переходов, ремонт тротуаров, пешеходных дорожек</t>
  </si>
  <si>
    <t>Обустройство ТСОДД у детских образ учрежд и на маршрутах следования детей к ним</t>
  </si>
  <si>
    <t>Обустройство пешех. переходов недостающими ТСОДД на а/д</t>
  </si>
  <si>
    <t>обеспечение технологического присоединения комплексов к сетям электроснабжения</t>
  </si>
  <si>
    <t>поставка серверного и коммуникационного оборудования</t>
  </si>
  <si>
    <t>IV. Непрограммные расходы</t>
  </si>
  <si>
    <t>Финансирование на 01.10.2021г. (тыс.руб.)</t>
  </si>
  <si>
    <t>Выполнение на 01.10.2021г. (тыс.руб.)</t>
  </si>
  <si>
    <t>Установка недостающего барьерного ограждения</t>
  </si>
  <si>
    <t>модернизация стационарного многоцелевых комплексов автоматической видеофиксации нарушений ПДД РФ в 2021 г</t>
  </si>
  <si>
    <t>оказание услуг по обеспечению работоспособности передвижных комплексов автоматической фото-фиксации нарушений ПДД на территории Ленинградской области в 2021 году</t>
  </si>
  <si>
    <t>Исполнение Бюджета Комитета по дорожному хозяйству Ленинградской области в 2021 году по состоянию на 01.10.2021г.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</si>
</sst>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00"/>
    <numFmt numFmtId="165" formatCode="#,##0.0"/>
    <numFmt numFmtId="166" formatCode="0.0%"/>
    <numFmt numFmtId="167" formatCode="#,##0.000"/>
    <numFmt numFmtId="168" formatCode="#,##0.0000"/>
    <numFmt numFmtId="169" formatCode="0.00000"/>
    <numFmt numFmtId="170" formatCode="#,##0.000000"/>
    <numFmt numFmtId="171" formatCode="_-* #,##0.00&quot;р.&quot;_-;\-* #,##0.00&quot;р.&quot;_-;_-* &quot;-&quot;??&quot;р.&quot;_-;_-@_-"/>
    <numFmt numFmtId="172" formatCode="_-* #,##0.00_р_._-;\-* #,##0.00_р_._-;_-* &quot;-&quot;??_р_._-;_-@_-"/>
  </numFmts>
  <fonts count="135" x14ac:knownFonts="1">
    <font>
      <sz val="10"/>
      <name val="Arial"/>
      <family val="2"/>
      <charset val="204"/>
    </font>
    <font>
      <sz val="11"/>
      <color theme="1"/>
      <name val="Calibri"/>
      <family val="2"/>
      <charset val="204"/>
      <scheme val="minor"/>
    </font>
    <font>
      <sz val="11"/>
      <color theme="1"/>
      <name val="Calibri"/>
      <family val="2"/>
      <charset val="204"/>
      <scheme val="minor"/>
    </font>
    <font>
      <b/>
      <sz val="11"/>
      <name val="Calibri"/>
      <family val="2"/>
      <charset val="204"/>
      <scheme val="minor"/>
    </font>
    <font>
      <sz val="16"/>
      <color theme="1"/>
      <name val="Calibri"/>
      <family val="2"/>
      <charset val="204"/>
      <scheme val="minor"/>
    </font>
    <font>
      <sz val="11"/>
      <name val="Calibri"/>
      <family val="2"/>
      <charset val="204"/>
      <scheme val="minor"/>
    </font>
    <font>
      <sz val="14"/>
      <color theme="1"/>
      <name val="Calibri"/>
      <family val="2"/>
      <charset val="204"/>
      <scheme val="minor"/>
    </font>
    <font>
      <b/>
      <i/>
      <sz val="14"/>
      <color rgb="FF002060"/>
      <name val="Arial"/>
      <family val="2"/>
      <charset val="204"/>
    </font>
    <font>
      <b/>
      <i/>
      <sz val="16"/>
      <color rgb="FF7030A0"/>
      <name val="Arial Cyr"/>
      <charset val="204"/>
    </font>
    <font>
      <b/>
      <i/>
      <sz val="16"/>
      <name val="Arial Cyr"/>
      <charset val="204"/>
    </font>
    <font>
      <b/>
      <sz val="16"/>
      <name val="Arial Cyr"/>
      <charset val="204"/>
    </font>
    <font>
      <b/>
      <sz val="16"/>
      <color theme="1"/>
      <name val="Calibri"/>
      <family val="2"/>
      <charset val="204"/>
      <scheme val="minor"/>
    </font>
    <font>
      <b/>
      <sz val="16"/>
      <name val="Calibri"/>
      <family val="2"/>
      <charset val="204"/>
      <scheme val="minor"/>
    </font>
    <font>
      <b/>
      <i/>
      <sz val="12"/>
      <color theme="1"/>
      <name val="Calibri"/>
      <family val="2"/>
      <charset val="204"/>
      <scheme val="minor"/>
    </font>
    <font>
      <b/>
      <i/>
      <sz val="14"/>
      <color rgb="FF002060"/>
      <name val="Arial Cyr"/>
      <charset val="204"/>
    </font>
    <font>
      <b/>
      <i/>
      <sz val="14"/>
      <color rgb="FF002060"/>
      <name val="Calibri"/>
      <family val="2"/>
      <charset val="204"/>
      <scheme val="minor"/>
    </font>
    <font>
      <b/>
      <i/>
      <sz val="14"/>
      <name val="Arial"/>
      <family val="2"/>
      <charset val="204"/>
    </font>
    <font>
      <b/>
      <i/>
      <sz val="12"/>
      <name val="Arial"/>
      <family val="2"/>
      <charset val="204"/>
    </font>
    <font>
      <b/>
      <i/>
      <sz val="12"/>
      <color rgb="FFFF0000"/>
      <name val="Calibri"/>
      <family val="2"/>
      <charset val="204"/>
      <scheme val="minor"/>
    </font>
    <font>
      <b/>
      <i/>
      <sz val="12"/>
      <name val="Calibri"/>
      <family val="2"/>
      <charset val="204"/>
      <scheme val="minor"/>
    </font>
    <font>
      <b/>
      <i/>
      <sz val="12"/>
      <color rgb="FFFF0000"/>
      <name val="Arial"/>
      <family val="2"/>
      <charset val="204"/>
    </font>
    <font>
      <b/>
      <i/>
      <sz val="14"/>
      <color theme="5" tint="-0.249977111117893"/>
      <name val="Arial Cyr"/>
      <charset val="204"/>
    </font>
    <font>
      <b/>
      <i/>
      <sz val="14"/>
      <color theme="5" tint="-0.249977111117893"/>
      <name val="Calibri"/>
      <family val="2"/>
      <charset val="204"/>
      <scheme val="minor"/>
    </font>
    <font>
      <b/>
      <i/>
      <sz val="14"/>
      <color theme="5" tint="-0.249977111117893"/>
      <name val="Arial"/>
      <family val="2"/>
      <charset val="204"/>
    </font>
    <font>
      <b/>
      <i/>
      <sz val="14"/>
      <name val="Calibri"/>
      <family val="2"/>
      <charset val="204"/>
      <scheme val="minor"/>
    </font>
    <font>
      <b/>
      <i/>
      <sz val="14"/>
      <color rgb="FFFF0000"/>
      <name val="Arial Cyr"/>
      <charset val="204"/>
    </font>
    <font>
      <b/>
      <i/>
      <sz val="14"/>
      <color rgb="FFFF0000"/>
      <name val="Calibri"/>
      <family val="2"/>
      <charset val="204"/>
      <scheme val="minor"/>
    </font>
    <font>
      <b/>
      <i/>
      <sz val="14"/>
      <color rgb="FFFF0000"/>
      <name val="Arial"/>
      <family val="2"/>
      <charset val="204"/>
    </font>
    <font>
      <b/>
      <i/>
      <sz val="14"/>
      <color rgb="FF7030A0"/>
      <name val="Arial Cyr"/>
      <charset val="204"/>
    </font>
    <font>
      <b/>
      <i/>
      <sz val="14"/>
      <color rgb="FF7030A0"/>
      <name val="Calibri"/>
      <family val="2"/>
      <charset val="204"/>
      <scheme val="minor"/>
    </font>
    <font>
      <b/>
      <i/>
      <sz val="14"/>
      <color rgb="FF7030A0"/>
      <name val="Arial"/>
      <family val="2"/>
      <charset val="204"/>
    </font>
    <font>
      <i/>
      <sz val="14"/>
      <name val="Arial Cyr"/>
      <charset val="204"/>
    </font>
    <font>
      <i/>
      <sz val="14"/>
      <name val="Calibri"/>
      <family val="2"/>
      <charset val="204"/>
      <scheme val="minor"/>
    </font>
    <font>
      <i/>
      <sz val="14"/>
      <name val="Arial"/>
      <family val="2"/>
      <charset val="204"/>
    </font>
    <font>
      <i/>
      <sz val="12"/>
      <name val="Arial"/>
      <family val="2"/>
      <charset val="204"/>
    </font>
    <font>
      <i/>
      <sz val="12"/>
      <name val="Calibri"/>
      <family val="2"/>
      <charset val="204"/>
      <scheme val="minor"/>
    </font>
    <font>
      <sz val="12"/>
      <color theme="1"/>
      <name val="Calibri"/>
      <family val="2"/>
      <charset val="204"/>
      <scheme val="minor"/>
    </font>
    <font>
      <i/>
      <sz val="12"/>
      <color theme="1"/>
      <name val="Calibri"/>
      <family val="2"/>
      <charset val="204"/>
      <scheme val="minor"/>
    </font>
    <font>
      <b/>
      <sz val="14"/>
      <name val="Arial"/>
      <family val="2"/>
      <charset val="204"/>
    </font>
    <font>
      <b/>
      <sz val="12"/>
      <color theme="1"/>
      <name val="Arial"/>
      <family val="2"/>
      <charset val="204"/>
    </font>
    <font>
      <b/>
      <sz val="14"/>
      <color rgb="FFFF0000"/>
      <name val="Arial Cyr"/>
      <charset val="204"/>
    </font>
    <font>
      <b/>
      <i/>
      <sz val="12"/>
      <color rgb="FFFF0000"/>
      <name val="Arial Cyr"/>
      <charset val="204"/>
    </font>
    <font>
      <b/>
      <sz val="12"/>
      <color rgb="FFFF0000"/>
      <name val="Calibri"/>
      <family val="2"/>
      <charset val="204"/>
      <scheme val="minor"/>
    </font>
    <font>
      <b/>
      <sz val="14"/>
      <color theme="5" tint="-0.249977111117893"/>
      <name val="Arial"/>
      <family val="2"/>
      <charset val="204"/>
    </font>
    <font>
      <i/>
      <sz val="14"/>
      <color theme="5" tint="-0.249977111117893"/>
      <name val="Arial"/>
      <family val="2"/>
      <charset val="204"/>
    </font>
    <font>
      <sz val="12"/>
      <color theme="1"/>
      <name val="Arial"/>
      <family val="2"/>
      <charset val="204"/>
    </font>
    <font>
      <b/>
      <sz val="14"/>
      <color rgb="FF7030A0"/>
      <name val="Arial"/>
      <family val="2"/>
      <charset val="204"/>
    </font>
    <font>
      <b/>
      <sz val="14"/>
      <color rgb="FF002060"/>
      <name val="Arial"/>
      <family val="2"/>
      <charset val="204"/>
    </font>
    <font>
      <b/>
      <i/>
      <sz val="14"/>
      <name val="Arial Cyr"/>
      <charset val="204"/>
    </font>
    <font>
      <b/>
      <i/>
      <u/>
      <sz val="14"/>
      <name val="Arial Cyr"/>
      <charset val="204"/>
    </font>
    <font>
      <b/>
      <i/>
      <u/>
      <sz val="14"/>
      <name val="Arial"/>
      <family val="2"/>
      <charset val="204"/>
    </font>
    <font>
      <sz val="14"/>
      <name val="Arial Cyr"/>
      <charset val="204"/>
    </font>
    <font>
      <b/>
      <i/>
      <sz val="12"/>
      <name val="Arial Cyr"/>
      <charset val="204"/>
    </font>
    <font>
      <i/>
      <sz val="12"/>
      <name val="Arial Cyr"/>
      <charset val="204"/>
    </font>
    <font>
      <sz val="12"/>
      <name val="Calibri"/>
      <family val="2"/>
      <charset val="204"/>
      <scheme val="minor"/>
    </font>
    <font>
      <b/>
      <sz val="14"/>
      <color theme="1"/>
      <name val="Arial"/>
      <family val="2"/>
      <charset val="204"/>
    </font>
    <font>
      <b/>
      <sz val="12"/>
      <color rgb="FF0070C0"/>
      <name val="Arial"/>
      <family val="2"/>
      <charset val="204"/>
    </font>
    <font>
      <b/>
      <sz val="14"/>
      <name val="Arial Cyr"/>
      <charset val="204"/>
    </font>
    <font>
      <b/>
      <sz val="12"/>
      <name val="Calibri"/>
      <family val="2"/>
      <charset val="204"/>
      <scheme val="minor"/>
    </font>
    <font>
      <sz val="14"/>
      <name val="Arial"/>
      <family val="2"/>
      <charset val="204"/>
    </font>
    <font>
      <b/>
      <sz val="14"/>
      <color rgb="FF7030A0"/>
      <name val="Arial Cyr"/>
      <charset val="204"/>
    </font>
    <font>
      <b/>
      <i/>
      <sz val="12"/>
      <color rgb="FF7030A0"/>
      <name val="Arial Cyr"/>
      <charset val="204"/>
    </font>
    <font>
      <b/>
      <sz val="12"/>
      <color rgb="FF0070C0"/>
      <name val="Calibri"/>
      <family val="2"/>
      <charset val="204"/>
      <scheme val="minor"/>
    </font>
    <font>
      <b/>
      <i/>
      <sz val="13"/>
      <name val="Arial"/>
      <family val="2"/>
      <charset val="204"/>
    </font>
    <font>
      <b/>
      <i/>
      <sz val="13"/>
      <name val="Arial Cyr"/>
      <charset val="204"/>
    </font>
    <font>
      <b/>
      <sz val="12"/>
      <name val="Arial"/>
      <family val="2"/>
      <charset val="204"/>
    </font>
    <font>
      <b/>
      <sz val="12"/>
      <color rgb="FF7030A0"/>
      <name val="Calibri"/>
      <family val="2"/>
      <charset val="204"/>
      <scheme val="minor"/>
    </font>
    <font>
      <b/>
      <sz val="12"/>
      <color theme="1"/>
      <name val="Calibri"/>
      <family val="2"/>
      <charset val="204"/>
      <scheme val="minor"/>
    </font>
    <font>
      <b/>
      <i/>
      <sz val="12"/>
      <color theme="5" tint="-0.249977111117893"/>
      <name val="Arial"/>
      <family val="2"/>
      <charset val="204"/>
    </font>
    <font>
      <b/>
      <sz val="12"/>
      <color theme="5" tint="-0.249977111117893"/>
      <name val="Arial"/>
      <family val="2"/>
      <charset val="204"/>
    </font>
    <font>
      <b/>
      <i/>
      <sz val="12"/>
      <color rgb="FF002060"/>
      <name val="Arial"/>
      <family val="2"/>
      <charset val="204"/>
    </font>
    <font>
      <b/>
      <sz val="12"/>
      <color rgb="FF002060"/>
      <name val="Arial"/>
      <family val="2"/>
      <charset val="204"/>
    </font>
    <font>
      <i/>
      <sz val="14"/>
      <color rgb="FF002060"/>
      <name val="Arial Cyr"/>
      <charset val="204"/>
    </font>
    <font>
      <sz val="12"/>
      <name val="Arial"/>
      <family val="2"/>
      <charset val="204"/>
    </font>
    <font>
      <b/>
      <i/>
      <sz val="12"/>
      <color rgb="FF002060"/>
      <name val="Arial Cyr"/>
      <charset val="204"/>
    </font>
    <font>
      <i/>
      <sz val="14"/>
      <color rgb="FF002060"/>
      <name val="Arial"/>
      <family val="2"/>
      <charset val="204"/>
    </font>
    <font>
      <sz val="14"/>
      <color theme="5" tint="-0.249977111117893"/>
      <name val="Arial"/>
      <family val="2"/>
      <charset val="204"/>
    </font>
    <font>
      <sz val="12"/>
      <color rgb="FF002060"/>
      <name val="Calibri"/>
      <family val="2"/>
      <charset val="204"/>
      <scheme val="minor"/>
    </font>
    <font>
      <b/>
      <sz val="14"/>
      <color rgb="FF002060"/>
      <name val="Arial Cyr"/>
      <charset val="204"/>
    </font>
    <font>
      <b/>
      <sz val="12"/>
      <color rgb="FF002060"/>
      <name val="Arial Cyr"/>
      <charset val="204"/>
    </font>
    <font>
      <b/>
      <sz val="12"/>
      <color rgb="FF002060"/>
      <name val="Calibri"/>
      <family val="2"/>
      <charset val="204"/>
      <scheme val="minor"/>
    </font>
    <font>
      <b/>
      <sz val="12"/>
      <name val="Arial Cyr"/>
      <charset val="204"/>
    </font>
    <font>
      <i/>
      <sz val="14"/>
      <color rgb="FFFF0000"/>
      <name val="Arial Cyr"/>
      <charset val="204"/>
    </font>
    <font>
      <sz val="12"/>
      <name val="Arial Cyr"/>
      <charset val="204"/>
    </font>
    <font>
      <i/>
      <sz val="14"/>
      <color rgb="FF7030A0"/>
      <name val="Arial Cyr"/>
      <charset val="204"/>
    </font>
    <font>
      <sz val="12"/>
      <color rgb="FF002060"/>
      <name val="Arial"/>
      <family val="2"/>
      <charset val="204"/>
    </font>
    <font>
      <b/>
      <i/>
      <sz val="13"/>
      <color rgb="FFFF0000"/>
      <name val="Arial Cyr"/>
      <charset val="204"/>
    </font>
    <font>
      <b/>
      <sz val="14"/>
      <color rgb="FFFF0000"/>
      <name val="Calibri"/>
      <family val="2"/>
      <charset val="204"/>
      <scheme val="minor"/>
    </font>
    <font>
      <b/>
      <sz val="14"/>
      <name val="Calibri"/>
      <family val="2"/>
      <charset val="204"/>
      <scheme val="minor"/>
    </font>
    <font>
      <b/>
      <sz val="14"/>
      <color rgb="FF002060"/>
      <name val="Calibri"/>
      <family val="2"/>
      <charset val="204"/>
      <scheme val="minor"/>
    </font>
    <font>
      <b/>
      <sz val="14"/>
      <color theme="1"/>
      <name val="Calibri"/>
      <family val="2"/>
      <charset val="204"/>
      <scheme val="minor"/>
    </font>
    <font>
      <b/>
      <i/>
      <u/>
      <sz val="14"/>
      <color rgb="FF002060"/>
      <name val="Arial Cyr"/>
      <charset val="204"/>
    </font>
    <font>
      <b/>
      <i/>
      <sz val="12"/>
      <color theme="5" tint="-0.249977111117893"/>
      <name val="Arial Cyr"/>
      <charset val="204"/>
    </font>
    <font>
      <b/>
      <sz val="14"/>
      <color theme="5" tint="-0.249977111117893"/>
      <name val="Calibri"/>
      <family val="2"/>
      <charset val="204"/>
      <scheme val="minor"/>
    </font>
    <font>
      <sz val="14"/>
      <name val="Calibri"/>
      <family val="2"/>
      <charset val="204"/>
      <scheme val="minor"/>
    </font>
    <font>
      <sz val="14"/>
      <color rgb="FF002060"/>
      <name val="Calibri"/>
      <family val="2"/>
      <charset val="204"/>
      <scheme val="minor"/>
    </font>
    <font>
      <sz val="14"/>
      <color rgb="FF002060"/>
      <name val="Arial Cyr"/>
      <charset val="204"/>
    </font>
    <font>
      <sz val="12"/>
      <color rgb="FF7030A0"/>
      <name val="Calibri"/>
      <family val="2"/>
      <charset val="204"/>
      <scheme val="minor"/>
    </font>
    <font>
      <b/>
      <sz val="14"/>
      <color theme="5" tint="-0.249977111117893"/>
      <name val="Arial Cyr"/>
      <charset val="204"/>
    </font>
    <font>
      <i/>
      <sz val="14"/>
      <color rgb="FFFF0000"/>
      <name val="Arial"/>
      <family val="2"/>
      <charset val="204"/>
    </font>
    <font>
      <i/>
      <sz val="14"/>
      <color theme="5" tint="-0.249977111117893"/>
      <name val="Arial Cyr"/>
      <charset val="204"/>
    </font>
    <font>
      <sz val="12"/>
      <color theme="5" tint="-0.249977111117893"/>
      <name val="Calibri"/>
      <family val="2"/>
      <charset val="204"/>
      <scheme val="minor"/>
    </font>
    <font>
      <i/>
      <sz val="12"/>
      <color rgb="FF7030A0"/>
      <name val="Arial Cyr"/>
      <charset val="204"/>
    </font>
    <font>
      <b/>
      <u/>
      <sz val="12"/>
      <name val="Calibri"/>
      <family val="2"/>
      <charset val="204"/>
      <scheme val="minor"/>
    </font>
    <font>
      <sz val="14"/>
      <color theme="1"/>
      <name val="Times New Roman"/>
      <family val="1"/>
      <charset val="204"/>
    </font>
    <font>
      <sz val="9"/>
      <color theme="1"/>
      <name val="Times New Roman"/>
      <family val="1"/>
      <charset val="204"/>
    </font>
    <font>
      <sz val="10"/>
      <name val="Arial"/>
      <family val="2"/>
      <charset val="204"/>
    </font>
    <font>
      <sz val="11"/>
      <color rgb="FF000000"/>
      <name val="Calibri"/>
      <family val="2"/>
      <scheme val="minor"/>
    </font>
    <font>
      <b/>
      <i/>
      <sz val="14"/>
      <color rgb="FF00B050"/>
      <name val="Arial"/>
      <family val="2"/>
      <charset val="204"/>
    </font>
    <font>
      <b/>
      <i/>
      <sz val="12"/>
      <color rgb="FF00B050"/>
      <name val="Calibri"/>
      <family val="2"/>
      <charset val="204"/>
      <scheme val="minor"/>
    </font>
    <font>
      <b/>
      <i/>
      <sz val="14"/>
      <color rgb="FF00B050"/>
      <name val="Calibri"/>
      <family val="2"/>
      <charset val="204"/>
      <scheme val="minor"/>
    </font>
    <font>
      <b/>
      <i/>
      <sz val="12"/>
      <color rgb="FF00B050"/>
      <name val="Arial"/>
      <family val="2"/>
      <charset val="204"/>
    </font>
    <font>
      <b/>
      <sz val="12"/>
      <color rgb="FF00B050"/>
      <name val="Calibri"/>
      <family val="2"/>
      <charset val="204"/>
      <scheme val="minor"/>
    </font>
    <font>
      <b/>
      <sz val="14"/>
      <color rgb="FF00B050"/>
      <name val="Arial Cyr"/>
      <charset val="204"/>
    </font>
    <font>
      <b/>
      <i/>
      <sz val="14"/>
      <color rgb="FF00B050"/>
      <name val="Arial Cyr"/>
      <charset val="204"/>
    </font>
    <font>
      <i/>
      <sz val="14"/>
      <color rgb="FF00B050"/>
      <name val="Arial"/>
      <family val="2"/>
      <charset val="204"/>
    </font>
    <font>
      <b/>
      <i/>
      <sz val="12"/>
      <color rgb="FF00B050"/>
      <name val="Arial Cyr"/>
      <charset val="204"/>
    </font>
    <font>
      <i/>
      <sz val="13"/>
      <name val="Arial"/>
      <family val="2"/>
      <charset val="204"/>
    </font>
    <font>
      <i/>
      <sz val="13"/>
      <name val="Arial Cyr"/>
      <charset val="204"/>
    </font>
    <font>
      <b/>
      <i/>
      <sz val="13"/>
      <color theme="5" tint="-0.249977111117893"/>
      <name val="Arial"/>
      <family val="2"/>
      <charset val="204"/>
    </font>
    <font>
      <b/>
      <i/>
      <sz val="11"/>
      <name val="Arial Cyr"/>
      <charset val="204"/>
    </font>
    <font>
      <b/>
      <i/>
      <sz val="13"/>
      <color rgb="FF7030A0"/>
      <name val="Arial"/>
      <family val="2"/>
      <charset val="204"/>
    </font>
    <font>
      <b/>
      <i/>
      <sz val="13"/>
      <color rgb="FF002060"/>
      <name val="Arial"/>
      <family val="2"/>
      <charset val="204"/>
    </font>
    <font>
      <b/>
      <i/>
      <sz val="12"/>
      <color theme="5" tint="-0.249977111117893"/>
      <name val="Calibri"/>
      <family val="2"/>
      <charset val="204"/>
      <scheme val="minor"/>
    </font>
    <font>
      <b/>
      <i/>
      <sz val="12"/>
      <color rgb="FF7030A0"/>
      <name val="Arial"/>
      <family val="2"/>
      <charset val="204"/>
    </font>
    <font>
      <b/>
      <i/>
      <sz val="12"/>
      <color rgb="FF7030A0"/>
      <name val="Calibri"/>
      <family val="2"/>
      <charset val="204"/>
      <scheme val="minor"/>
    </font>
    <font>
      <b/>
      <i/>
      <sz val="12"/>
      <color rgb="FF002060"/>
      <name val="Calibri"/>
      <family val="2"/>
      <charset val="204"/>
      <scheme val="minor"/>
    </font>
    <font>
      <i/>
      <sz val="12"/>
      <color rgb="FF7030A0"/>
      <name val="Calibri"/>
      <family val="2"/>
      <charset val="204"/>
      <scheme val="minor"/>
    </font>
    <font>
      <b/>
      <sz val="14"/>
      <color rgb="FFFF0000"/>
      <name val="Arial"/>
      <family val="2"/>
      <charset val="204"/>
    </font>
    <font>
      <sz val="14"/>
      <color rgb="FF002060"/>
      <name val="Arial"/>
      <family val="2"/>
      <charset val="204"/>
    </font>
    <font>
      <b/>
      <i/>
      <sz val="13"/>
      <color rgb="FF002060"/>
      <name val="Arial Cyr"/>
      <charset val="204"/>
    </font>
    <font>
      <sz val="12"/>
      <color rgb="FF00B050"/>
      <name val="Calibri"/>
      <family val="2"/>
      <charset val="204"/>
      <scheme val="minor"/>
    </font>
    <font>
      <sz val="14"/>
      <color rgb="FF00B050"/>
      <name val="Arial Cyr"/>
      <charset val="204"/>
    </font>
    <font>
      <i/>
      <sz val="14"/>
      <color rgb="FF00B050"/>
      <name val="Arial Cyr"/>
      <charset val="204"/>
    </font>
    <font>
      <i/>
      <sz val="12"/>
      <color rgb="FF00B050"/>
      <name val="Arial Cyr"/>
      <charset val="204"/>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indexed="9"/>
        <bgColor indexed="64"/>
      </patternFill>
    </fill>
  </fills>
  <borders count="38">
    <border>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0">
    <xf numFmtId="0" fontId="0" fillId="0" borderId="0"/>
    <xf numFmtId="0" fontId="2" fillId="0" borderId="0"/>
    <xf numFmtId="0" fontId="2" fillId="0" borderId="0"/>
    <xf numFmtId="9" fontId="2" fillId="0" borderId="0" applyFont="0" applyFill="0" applyBorder="0" applyAlignment="0" applyProtection="0"/>
    <xf numFmtId="0" fontId="2" fillId="0" borderId="0"/>
    <xf numFmtId="0" fontId="107" fillId="0" borderId="0"/>
    <xf numFmtId="171" fontId="106" fillId="0" borderId="0" applyFont="0" applyFill="0" applyBorder="0" applyAlignment="0" applyProtection="0"/>
    <xf numFmtId="0" fontId="106" fillId="0" borderId="0"/>
    <xf numFmtId="0" fontId="106" fillId="0" borderId="0"/>
    <xf numFmtId="0" fontId="106" fillId="0" borderId="0"/>
    <xf numFmtId="0" fontId="1" fillId="0" borderId="0"/>
    <xf numFmtId="0" fontId="1" fillId="0" borderId="0"/>
    <xf numFmtId="0" fontId="1" fillId="0" borderId="0"/>
    <xf numFmtId="0" fontId="106" fillId="0" borderId="0"/>
    <xf numFmtId="0" fontId="106" fillId="0" borderId="0"/>
    <xf numFmtId="0" fontId="106" fillId="0" borderId="0"/>
    <xf numFmtId="0" fontId="6" fillId="0" borderId="0"/>
    <xf numFmtId="0" fontId="106" fillId="0" borderId="0"/>
    <xf numFmtId="0" fontId="106" fillId="0" borderId="0"/>
    <xf numFmtId="0" fontId="1" fillId="0" borderId="0"/>
    <xf numFmtId="0" fontId="1" fillId="0" borderId="0"/>
    <xf numFmtId="0" fontId="1" fillId="0" borderId="0"/>
    <xf numFmtId="0" fontId="1" fillId="0" borderId="0"/>
    <xf numFmtId="0" fontId="10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9" fontId="106" fillId="0" borderId="0" applyFont="0" applyFill="0" applyBorder="0" applyAlignment="0" applyProtection="0"/>
  </cellStyleXfs>
  <cellXfs count="786">
    <xf numFmtId="0" fontId="0" fillId="0" borderId="0" xfId="0"/>
    <xf numFmtId="0" fontId="2" fillId="0" borderId="0" xfId="1"/>
    <xf numFmtId="49" fontId="3" fillId="0" borderId="0" xfId="1" applyNumberFormat="1" applyFont="1" applyAlignment="1">
      <alignment horizontal="center"/>
    </xf>
    <xf numFmtId="164" fontId="4" fillId="0" borderId="0" xfId="1" applyNumberFormat="1" applyFont="1"/>
    <xf numFmtId="49" fontId="5" fillId="0" borderId="0" xfId="1" applyNumberFormat="1" applyFont="1"/>
    <xf numFmtId="164" fontId="5" fillId="0" borderId="0" xfId="1" applyNumberFormat="1" applyFont="1"/>
    <xf numFmtId="164" fontId="2" fillId="0" borderId="0" xfId="1" applyNumberFormat="1"/>
    <xf numFmtId="164" fontId="4" fillId="0" borderId="0" xfId="1" applyNumberFormat="1" applyFont="1" applyAlignment="1">
      <alignment horizontal="center"/>
    </xf>
    <xf numFmtId="165" fontId="2" fillId="0" borderId="0" xfId="1" applyNumberFormat="1"/>
    <xf numFmtId="164" fontId="6" fillId="0" borderId="0" xfId="1" applyNumberFormat="1" applyFont="1"/>
    <xf numFmtId="164" fontId="3" fillId="0" borderId="0" xfId="1" applyNumberFormat="1" applyFont="1" applyFill="1"/>
    <xf numFmtId="164" fontId="5" fillId="0" borderId="0" xfId="1" applyNumberFormat="1" applyFont="1" applyFill="1"/>
    <xf numFmtId="0" fontId="2" fillId="0" borderId="0" xfId="1" applyFill="1"/>
    <xf numFmtId="164" fontId="2" fillId="0" borderId="0" xfId="1" applyNumberFormat="1" applyBorder="1"/>
    <xf numFmtId="165" fontId="7" fillId="0" borderId="0" xfId="1" applyNumberFormat="1" applyFont="1" applyFill="1" applyBorder="1" applyAlignment="1">
      <alignment horizontal="center" vertical="center"/>
    </xf>
    <xf numFmtId="0" fontId="2" fillId="0" borderId="0" xfId="1" applyBorder="1"/>
    <xf numFmtId="0" fontId="9" fillId="0" borderId="0" xfId="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49" fontId="10" fillId="0" borderId="4" xfId="1" applyNumberFormat="1"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164" fontId="9" fillId="0" borderId="6" xfId="1" applyNumberFormat="1"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164" fontId="9" fillId="0" borderId="0" xfId="1" applyNumberFormat="1" applyFont="1" applyFill="1" applyBorder="1" applyAlignment="1">
      <alignment horizontal="center" vertical="center" wrapText="1"/>
    </xf>
    <xf numFmtId="0" fontId="11" fillId="0" borderId="0" xfId="1" applyFont="1" applyFill="1"/>
    <xf numFmtId="49" fontId="10" fillId="0" borderId="9" xfId="1" applyNumberFormat="1" applyFont="1" applyFill="1" applyBorder="1" applyAlignment="1">
      <alignment horizontal="center" vertical="center" wrapText="1"/>
    </xf>
    <xf numFmtId="164" fontId="9" fillId="0" borderId="12" xfId="1" applyNumberFormat="1" applyFont="1" applyFill="1" applyBorder="1" applyAlignment="1">
      <alignment horizontal="center" vertical="center" wrapText="1"/>
    </xf>
    <xf numFmtId="164" fontId="9" fillId="0" borderId="12" xfId="1" applyNumberFormat="1" applyFont="1" applyFill="1" applyBorder="1" applyAlignment="1">
      <alignment horizontal="center" vertical="center" wrapText="1"/>
    </xf>
    <xf numFmtId="49" fontId="12" fillId="0" borderId="0" xfId="1" applyNumberFormat="1" applyFont="1"/>
    <xf numFmtId="49" fontId="12" fillId="0" borderId="12" xfId="1" applyNumberFormat="1" applyFont="1" applyBorder="1" applyAlignment="1">
      <alignment horizontal="center" vertical="center"/>
    </xf>
    <xf numFmtId="49" fontId="12" fillId="0" borderId="15" xfId="1" applyNumberFormat="1" applyFont="1" applyFill="1" applyBorder="1" applyAlignment="1">
      <alignment horizontal="center" vertical="center"/>
    </xf>
    <xf numFmtId="49" fontId="12" fillId="0" borderId="0" xfId="1" applyNumberFormat="1" applyFont="1" applyFill="1" applyBorder="1" applyAlignment="1">
      <alignment horizontal="center" vertical="center"/>
    </xf>
    <xf numFmtId="49" fontId="12" fillId="0" borderId="0" xfId="1" applyNumberFormat="1" applyFont="1" applyFill="1"/>
    <xf numFmtId="49" fontId="13" fillId="0" borderId="0" xfId="1" applyNumberFormat="1" applyFont="1"/>
    <xf numFmtId="49" fontId="15" fillId="2" borderId="12" xfId="1" applyNumberFormat="1" applyFont="1" applyFill="1" applyBorder="1" applyAlignment="1">
      <alignment horizontal="center" vertical="center"/>
    </xf>
    <xf numFmtId="164" fontId="15" fillId="2" borderId="12" xfId="1" applyNumberFormat="1" applyFont="1" applyFill="1" applyBorder="1" applyAlignment="1">
      <alignment horizontal="center" vertical="center"/>
    </xf>
    <xf numFmtId="165" fontId="7" fillId="2" borderId="12" xfId="1" applyNumberFormat="1" applyFont="1" applyFill="1" applyBorder="1" applyAlignment="1">
      <alignment horizontal="center" vertical="center"/>
    </xf>
    <xf numFmtId="166" fontId="7" fillId="2" borderId="12" xfId="1" applyNumberFormat="1" applyFont="1" applyFill="1" applyBorder="1" applyAlignment="1">
      <alignment horizontal="center" vertical="center"/>
    </xf>
    <xf numFmtId="9" fontId="7" fillId="2" borderId="12" xfId="1" applyNumberFormat="1" applyFont="1" applyFill="1" applyBorder="1" applyAlignment="1">
      <alignment horizontal="center" vertical="center"/>
    </xf>
    <xf numFmtId="165" fontId="7" fillId="0" borderId="12" xfId="1" applyNumberFormat="1" applyFont="1" applyFill="1" applyBorder="1" applyAlignment="1">
      <alignment horizontal="center" vertical="center"/>
    </xf>
    <xf numFmtId="164" fontId="7" fillId="0" borderId="12" xfId="1" applyNumberFormat="1" applyFont="1" applyFill="1" applyBorder="1" applyAlignment="1">
      <alignment horizontal="center" vertical="center"/>
    </xf>
    <xf numFmtId="165" fontId="16" fillId="0" borderId="15" xfId="1" applyNumberFormat="1" applyFont="1" applyFill="1" applyBorder="1" applyAlignment="1">
      <alignment horizontal="center" vertical="center"/>
    </xf>
    <xf numFmtId="165" fontId="17" fillId="0" borderId="0" xfId="1" applyNumberFormat="1" applyFont="1" applyFill="1" applyBorder="1" applyAlignment="1">
      <alignment horizontal="center" vertical="center"/>
    </xf>
    <xf numFmtId="49" fontId="13" fillId="0" borderId="0" xfId="1" applyNumberFormat="1" applyFont="1" applyFill="1"/>
    <xf numFmtId="2" fontId="13" fillId="0" borderId="0" xfId="1" applyNumberFormat="1" applyFont="1" applyFill="1"/>
    <xf numFmtId="49" fontId="18" fillId="0" borderId="0" xfId="1" applyNumberFormat="1" applyFont="1"/>
    <xf numFmtId="49" fontId="19" fillId="0" borderId="12" xfId="1" applyNumberFormat="1" applyFont="1" applyBorder="1" applyAlignment="1">
      <alignment horizontal="center" vertical="center"/>
    </xf>
    <xf numFmtId="164" fontId="19" fillId="0" borderId="12" xfId="1" applyNumberFormat="1" applyFont="1" applyBorder="1" applyAlignment="1">
      <alignment horizontal="center" vertical="center"/>
    </xf>
    <xf numFmtId="9" fontId="17" fillId="0" borderId="12" xfId="1" applyNumberFormat="1" applyFont="1" applyBorder="1" applyAlignment="1">
      <alignment horizontal="center" vertical="center"/>
    </xf>
    <xf numFmtId="166" fontId="17" fillId="0" borderId="12" xfId="1" applyNumberFormat="1" applyFont="1" applyBorder="1" applyAlignment="1">
      <alignment horizontal="center" vertical="center"/>
    </xf>
    <xf numFmtId="9" fontId="19" fillId="0" borderId="12" xfId="1" applyNumberFormat="1" applyFont="1" applyBorder="1" applyAlignment="1">
      <alignment horizontal="center" vertical="center"/>
    </xf>
    <xf numFmtId="165" fontId="17" fillId="0" borderId="12" xfId="1" applyNumberFormat="1" applyFont="1" applyBorder="1" applyAlignment="1">
      <alignment horizontal="center" vertical="center"/>
    </xf>
    <xf numFmtId="165" fontId="19" fillId="0" borderId="12" xfId="1" applyNumberFormat="1" applyFont="1" applyBorder="1" applyAlignment="1">
      <alignment horizontal="center" vertical="center"/>
    </xf>
    <xf numFmtId="9" fontId="17" fillId="0" borderId="12" xfId="3" applyFont="1" applyFill="1" applyBorder="1" applyAlignment="1">
      <alignment horizontal="center" vertical="center"/>
    </xf>
    <xf numFmtId="165" fontId="17" fillId="0" borderId="12" xfId="3" applyNumberFormat="1" applyFont="1" applyFill="1" applyBorder="1" applyAlignment="1">
      <alignment horizontal="center" vertical="center"/>
    </xf>
    <xf numFmtId="9" fontId="17" fillId="0" borderId="15" xfId="1" applyNumberFormat="1" applyFont="1" applyFill="1" applyBorder="1" applyAlignment="1">
      <alignment horizontal="center" vertical="center"/>
    </xf>
    <xf numFmtId="9" fontId="20" fillId="0" borderId="0" xfId="1" applyNumberFormat="1" applyFont="1" applyFill="1" applyBorder="1" applyAlignment="1">
      <alignment horizontal="center" vertical="center"/>
    </xf>
    <xf numFmtId="49" fontId="18" fillId="0" borderId="0" xfId="1" applyNumberFormat="1" applyFont="1" applyFill="1"/>
    <xf numFmtId="49" fontId="22" fillId="4" borderId="12" xfId="1" applyNumberFormat="1" applyFont="1" applyFill="1" applyBorder="1" applyAlignment="1">
      <alignment horizontal="center" vertical="center"/>
    </xf>
    <xf numFmtId="164" fontId="22" fillId="4" borderId="12" xfId="1" applyNumberFormat="1" applyFont="1" applyFill="1" applyBorder="1" applyAlignment="1">
      <alignment horizontal="center" vertical="center"/>
    </xf>
    <xf numFmtId="165" fontId="23" fillId="4" borderId="12" xfId="1" applyNumberFormat="1" applyFont="1" applyFill="1" applyBorder="1" applyAlignment="1">
      <alignment horizontal="center" vertical="center"/>
    </xf>
    <xf numFmtId="166" fontId="23" fillId="4" borderId="12" xfId="1" applyNumberFormat="1" applyFont="1" applyFill="1" applyBorder="1" applyAlignment="1">
      <alignment horizontal="center" vertical="center"/>
    </xf>
    <xf numFmtId="9" fontId="23" fillId="4" borderId="12" xfId="1" applyNumberFormat="1" applyFont="1" applyFill="1" applyBorder="1" applyAlignment="1">
      <alignment horizontal="center" vertical="center"/>
    </xf>
    <xf numFmtId="165" fontId="23" fillId="0" borderId="12" xfId="1" applyNumberFormat="1" applyFont="1" applyFill="1" applyBorder="1" applyAlignment="1">
      <alignment horizontal="center" vertical="center"/>
    </xf>
    <xf numFmtId="49" fontId="24" fillId="4" borderId="12" xfId="1" applyNumberFormat="1" applyFont="1" applyFill="1" applyBorder="1" applyAlignment="1">
      <alignment horizontal="center" vertical="center"/>
    </xf>
    <xf numFmtId="164" fontId="24" fillId="4" borderId="12" xfId="1" applyNumberFormat="1" applyFont="1" applyFill="1" applyBorder="1" applyAlignment="1">
      <alignment horizontal="center" vertical="center"/>
    </xf>
    <xf numFmtId="165" fontId="16" fillId="4" borderId="12" xfId="1" applyNumberFormat="1" applyFont="1" applyFill="1" applyBorder="1" applyAlignment="1">
      <alignment horizontal="center" vertical="center"/>
    </xf>
    <xf numFmtId="166" fontId="16" fillId="4" borderId="12" xfId="1" applyNumberFormat="1" applyFont="1" applyFill="1" applyBorder="1" applyAlignment="1">
      <alignment horizontal="center" vertical="center"/>
    </xf>
    <xf numFmtId="9" fontId="16" fillId="4" borderId="12" xfId="1" applyNumberFormat="1" applyFont="1" applyFill="1" applyBorder="1" applyAlignment="1">
      <alignment horizontal="center" vertical="center"/>
    </xf>
    <xf numFmtId="49" fontId="26" fillId="4" borderId="12" xfId="1" applyNumberFormat="1" applyFont="1" applyFill="1" applyBorder="1" applyAlignment="1">
      <alignment horizontal="center" vertical="center"/>
    </xf>
    <xf numFmtId="164" fontId="26" fillId="4" borderId="12" xfId="1" applyNumberFormat="1" applyFont="1" applyFill="1" applyBorder="1" applyAlignment="1">
      <alignment horizontal="center" vertical="center"/>
    </xf>
    <xf numFmtId="165" fontId="27" fillId="4" borderId="12" xfId="1" applyNumberFormat="1" applyFont="1" applyFill="1" applyBorder="1" applyAlignment="1">
      <alignment horizontal="center" vertical="center"/>
    </xf>
    <xf numFmtId="166" fontId="27" fillId="4" borderId="12" xfId="1" applyNumberFormat="1" applyFont="1" applyFill="1" applyBorder="1" applyAlignment="1">
      <alignment horizontal="center" vertical="center"/>
    </xf>
    <xf numFmtId="9" fontId="27" fillId="4" borderId="12" xfId="1" applyNumberFormat="1" applyFont="1" applyFill="1" applyBorder="1" applyAlignment="1">
      <alignment horizontal="center" vertical="center"/>
    </xf>
    <xf numFmtId="165" fontId="27" fillId="0" borderId="12" xfId="1" applyNumberFormat="1" applyFont="1" applyFill="1" applyBorder="1" applyAlignment="1">
      <alignment horizontal="center" vertical="center"/>
    </xf>
    <xf numFmtId="164" fontId="27" fillId="0" borderId="12" xfId="1" applyNumberFormat="1" applyFont="1" applyFill="1" applyBorder="1" applyAlignment="1">
      <alignment horizontal="center" vertical="center"/>
    </xf>
    <xf numFmtId="165" fontId="27" fillId="0" borderId="15" xfId="1" applyNumberFormat="1" applyFont="1" applyFill="1" applyBorder="1" applyAlignment="1">
      <alignment horizontal="center" vertical="center"/>
    </xf>
    <xf numFmtId="165" fontId="20" fillId="0" borderId="0" xfId="1" applyNumberFormat="1" applyFont="1" applyFill="1" applyBorder="1" applyAlignment="1">
      <alignment horizontal="center" vertical="center"/>
    </xf>
    <xf numFmtId="49" fontId="29" fillId="0" borderId="12" xfId="1" applyNumberFormat="1" applyFont="1" applyBorder="1" applyAlignment="1">
      <alignment horizontal="center" vertical="center"/>
    </xf>
    <xf numFmtId="164" fontId="29" fillId="0" borderId="12" xfId="1" applyNumberFormat="1" applyFont="1" applyBorder="1" applyAlignment="1">
      <alignment horizontal="center" vertical="center"/>
    </xf>
    <xf numFmtId="165" fontId="30" fillId="0" borderId="12" xfId="1" applyNumberFormat="1" applyFont="1" applyBorder="1" applyAlignment="1">
      <alignment horizontal="center" vertical="center"/>
    </xf>
    <xf numFmtId="166" fontId="30" fillId="0" borderId="12" xfId="1" applyNumberFormat="1" applyFont="1" applyBorder="1" applyAlignment="1">
      <alignment horizontal="center" vertical="center"/>
    </xf>
    <xf numFmtId="9" fontId="30" fillId="0" borderId="12" xfId="1" applyNumberFormat="1" applyFont="1" applyBorder="1" applyAlignment="1">
      <alignment horizontal="center" vertical="center"/>
    </xf>
    <xf numFmtId="165" fontId="30" fillId="0" borderId="12" xfId="1" applyNumberFormat="1" applyFont="1" applyFill="1" applyBorder="1" applyAlignment="1">
      <alignment horizontal="center" vertical="center"/>
    </xf>
    <xf numFmtId="164" fontId="30" fillId="0" borderId="12" xfId="1" applyNumberFormat="1" applyFont="1" applyFill="1" applyBorder="1" applyAlignment="1">
      <alignment horizontal="center" vertical="center"/>
    </xf>
    <xf numFmtId="164" fontId="23" fillId="0" borderId="12" xfId="1" applyNumberFormat="1" applyFont="1" applyFill="1" applyBorder="1" applyAlignment="1">
      <alignment horizontal="center" vertical="center"/>
    </xf>
    <xf numFmtId="49" fontId="32" fillId="0" borderId="12" xfId="1" applyNumberFormat="1" applyFont="1" applyFill="1" applyBorder="1" applyAlignment="1">
      <alignment horizontal="center" vertical="center"/>
    </xf>
    <xf numFmtId="164" fontId="32" fillId="0" borderId="12" xfId="1" applyNumberFormat="1" applyFont="1" applyFill="1" applyBorder="1" applyAlignment="1">
      <alignment horizontal="center" vertical="center"/>
    </xf>
    <xf numFmtId="165" fontId="33" fillId="0" borderId="12" xfId="1" applyNumberFormat="1" applyFont="1" applyFill="1" applyBorder="1" applyAlignment="1">
      <alignment horizontal="center" vertical="center"/>
    </xf>
    <xf numFmtId="166" fontId="33" fillId="0" borderId="12" xfId="1" applyNumberFormat="1" applyFont="1" applyFill="1" applyBorder="1" applyAlignment="1">
      <alignment horizontal="center" vertical="center"/>
    </xf>
    <xf numFmtId="9" fontId="33" fillId="0" borderId="12" xfId="1" applyNumberFormat="1" applyFont="1" applyFill="1" applyBorder="1" applyAlignment="1">
      <alignment horizontal="center" vertical="center"/>
    </xf>
    <xf numFmtId="164" fontId="33" fillId="0" borderId="12" xfId="1" applyNumberFormat="1" applyFont="1" applyFill="1" applyBorder="1" applyAlignment="1">
      <alignment horizontal="center" vertical="center"/>
    </xf>
    <xf numFmtId="165" fontId="33" fillId="0" borderId="15" xfId="1" applyNumberFormat="1" applyFont="1" applyFill="1" applyBorder="1" applyAlignment="1">
      <alignment horizontal="center" vertical="center"/>
    </xf>
    <xf numFmtId="165" fontId="34" fillId="0" borderId="0" xfId="1" applyNumberFormat="1" applyFont="1" applyFill="1" applyBorder="1" applyAlignment="1">
      <alignment horizontal="center" vertical="center"/>
    </xf>
    <xf numFmtId="49" fontId="35" fillId="0" borderId="0" xfId="1" applyNumberFormat="1" applyFont="1" applyFill="1"/>
    <xf numFmtId="167" fontId="16" fillId="0" borderId="0" xfId="1" applyNumberFormat="1" applyFont="1" applyFill="1" applyBorder="1" applyAlignment="1">
      <alignment horizontal="center"/>
    </xf>
    <xf numFmtId="49" fontId="36" fillId="0" borderId="0" xfId="1" applyNumberFormat="1" applyFont="1" applyFill="1"/>
    <xf numFmtId="49" fontId="36" fillId="0" borderId="0" xfId="1" applyNumberFormat="1" applyFont="1"/>
    <xf numFmtId="164" fontId="16" fillId="0" borderId="15" xfId="1" applyNumberFormat="1" applyFont="1" applyFill="1" applyBorder="1" applyAlignment="1">
      <alignment horizontal="center" vertical="center"/>
    </xf>
    <xf numFmtId="49" fontId="37" fillId="0" borderId="0" xfId="1" applyNumberFormat="1" applyFont="1" applyFill="1"/>
    <xf numFmtId="49" fontId="37" fillId="0" borderId="0" xfId="1" applyNumberFormat="1" applyFont="1"/>
    <xf numFmtId="49" fontId="38" fillId="0" borderId="14" xfId="1" applyNumberFormat="1" applyFont="1" applyFill="1" applyBorder="1" applyAlignment="1">
      <alignment horizontal="center" vertical="center" wrapText="1"/>
    </xf>
    <xf numFmtId="167" fontId="16" fillId="0" borderId="12" xfId="1" applyNumberFormat="1" applyFont="1" applyFill="1" applyBorder="1" applyAlignment="1">
      <alignment vertical="center" wrapText="1"/>
    </xf>
    <xf numFmtId="49" fontId="38" fillId="0" borderId="12" xfId="1" applyNumberFormat="1" applyFont="1" applyFill="1" applyBorder="1" applyAlignment="1">
      <alignment horizontal="center" vertical="center" wrapText="1"/>
    </xf>
    <xf numFmtId="164" fontId="16" fillId="0" borderId="12" xfId="1" applyNumberFormat="1" applyFont="1" applyFill="1" applyBorder="1" applyAlignment="1">
      <alignment horizontal="center" vertical="center" wrapText="1"/>
    </xf>
    <xf numFmtId="164" fontId="16" fillId="0" borderId="12" xfId="1" quotePrefix="1" applyNumberFormat="1" applyFont="1" applyFill="1" applyBorder="1" applyAlignment="1">
      <alignment horizontal="center" vertical="center" wrapText="1"/>
    </xf>
    <xf numFmtId="165" fontId="16" fillId="0" borderId="12" xfId="1" applyNumberFormat="1" applyFont="1" applyFill="1" applyBorder="1" applyAlignment="1">
      <alignment horizontal="center" vertical="center" wrapText="1"/>
    </xf>
    <xf numFmtId="165" fontId="16" fillId="0" borderId="12" xfId="1" quotePrefix="1" applyNumberFormat="1" applyFont="1" applyFill="1" applyBorder="1" applyAlignment="1">
      <alignment horizontal="center" vertical="center" wrapText="1"/>
    </xf>
    <xf numFmtId="165" fontId="7" fillId="0" borderId="12" xfId="1" applyNumberFormat="1" applyFont="1" applyFill="1" applyBorder="1" applyAlignment="1">
      <alignment horizontal="left" vertical="center" wrapText="1"/>
    </xf>
    <xf numFmtId="165" fontId="16" fillId="0" borderId="12" xfId="1" quotePrefix="1" applyNumberFormat="1" applyFont="1" applyFill="1" applyBorder="1" applyAlignment="1">
      <alignment horizontal="left" vertical="center" wrapText="1"/>
    </xf>
    <xf numFmtId="166" fontId="16" fillId="0" borderId="12" xfId="1" quotePrefix="1" applyNumberFormat="1" applyFont="1" applyFill="1" applyBorder="1" applyAlignment="1">
      <alignment horizontal="center" vertical="center" wrapText="1"/>
    </xf>
    <xf numFmtId="9" fontId="16" fillId="0" borderId="12" xfId="1" quotePrefix="1" applyNumberFormat="1" applyFont="1" applyFill="1" applyBorder="1" applyAlignment="1">
      <alignment horizontal="center" vertical="center" wrapText="1"/>
    </xf>
    <xf numFmtId="165" fontId="16" fillId="0" borderId="12" xfId="1" applyNumberFormat="1" applyFont="1" applyFill="1" applyBorder="1" applyAlignment="1">
      <alignment horizontal="left" vertical="center" wrapText="1"/>
    </xf>
    <xf numFmtId="165" fontId="17" fillId="0" borderId="15" xfId="1" quotePrefix="1" applyNumberFormat="1" applyFont="1" applyFill="1" applyBorder="1" applyAlignment="1">
      <alignment horizontal="left" vertical="center" wrapText="1"/>
    </xf>
    <xf numFmtId="165" fontId="17" fillId="0" borderId="0" xfId="1" quotePrefix="1" applyNumberFormat="1" applyFont="1" applyFill="1" applyBorder="1" applyAlignment="1">
      <alignment horizontal="left" vertical="center" wrapText="1"/>
    </xf>
    <xf numFmtId="0" fontId="39" fillId="0" borderId="0" xfId="1" applyFont="1" applyFill="1"/>
    <xf numFmtId="49" fontId="40" fillId="0" borderId="14" xfId="1" applyNumberFormat="1" applyFont="1" applyFill="1" applyBorder="1" applyAlignment="1">
      <alignment horizontal="center" vertical="center" wrapText="1"/>
    </xf>
    <xf numFmtId="167" fontId="27" fillId="0" borderId="12" xfId="1" applyNumberFormat="1" applyFont="1" applyFill="1" applyBorder="1" applyAlignment="1">
      <alignment vertical="center" wrapText="1"/>
    </xf>
    <xf numFmtId="49" fontId="40" fillId="0" borderId="12" xfId="1" applyNumberFormat="1" applyFont="1" applyFill="1" applyBorder="1" applyAlignment="1">
      <alignment horizontal="center" vertical="center" wrapText="1"/>
    </xf>
    <xf numFmtId="164" fontId="25" fillId="0" borderId="12" xfId="1" applyNumberFormat="1" applyFont="1" applyFill="1" applyBorder="1" applyAlignment="1">
      <alignment horizontal="center" vertical="center" wrapText="1"/>
    </xf>
    <xf numFmtId="165" fontId="25" fillId="0" borderId="12" xfId="1" applyNumberFormat="1" applyFont="1" applyFill="1" applyBorder="1" applyAlignment="1">
      <alignment horizontal="center" vertical="center" wrapText="1"/>
    </xf>
    <xf numFmtId="165" fontId="25" fillId="0" borderId="12" xfId="1" quotePrefix="1" applyNumberFormat="1" applyFont="1" applyFill="1" applyBorder="1" applyAlignment="1">
      <alignment horizontal="center" vertical="center" wrapText="1"/>
    </xf>
    <xf numFmtId="165" fontId="25" fillId="0" borderId="12" xfId="1" quotePrefix="1" applyNumberFormat="1" applyFont="1" applyFill="1" applyBorder="1" applyAlignment="1">
      <alignment horizontal="left" vertical="center" wrapText="1"/>
    </xf>
    <xf numFmtId="166" fontId="27" fillId="0" borderId="12" xfId="1" quotePrefix="1" applyNumberFormat="1" applyFont="1" applyFill="1" applyBorder="1" applyAlignment="1">
      <alignment horizontal="center" vertical="center" wrapText="1"/>
    </xf>
    <xf numFmtId="9" fontId="27" fillId="0" borderId="12" xfId="1" quotePrefix="1" applyNumberFormat="1" applyFont="1" applyFill="1" applyBorder="1" applyAlignment="1">
      <alignment horizontal="center" vertical="center" wrapText="1"/>
    </xf>
    <xf numFmtId="165" fontId="27" fillId="0" borderId="12" xfId="1" quotePrefix="1" applyNumberFormat="1" applyFont="1" applyFill="1" applyBorder="1" applyAlignment="1">
      <alignment horizontal="center" vertical="center" wrapText="1"/>
    </xf>
    <xf numFmtId="165" fontId="41" fillId="0" borderId="15" xfId="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0" fontId="42" fillId="0" borderId="0" xfId="1" applyFont="1" applyFill="1"/>
    <xf numFmtId="0" fontId="16" fillId="0" borderId="0" xfId="1" applyFont="1" applyFill="1" applyBorder="1" applyAlignment="1">
      <alignment horizontal="center" vertical="center" wrapText="1"/>
    </xf>
    <xf numFmtId="0" fontId="36" fillId="0" borderId="0" xfId="1" applyFont="1" applyFill="1"/>
    <xf numFmtId="0" fontId="36" fillId="0" borderId="0" xfId="1" applyFont="1"/>
    <xf numFmtId="49" fontId="43" fillId="0" borderId="14" xfId="1" applyNumberFormat="1" applyFont="1" applyFill="1" applyBorder="1" applyAlignment="1">
      <alignment horizontal="center" vertical="center" wrapText="1"/>
    </xf>
    <xf numFmtId="167" fontId="23" fillId="0" borderId="12" xfId="1" applyNumberFormat="1" applyFont="1" applyFill="1" applyBorder="1" applyAlignment="1">
      <alignment horizontal="left" vertical="center" wrapText="1"/>
    </xf>
    <xf numFmtId="49" fontId="43" fillId="0" borderId="12" xfId="1" applyNumberFormat="1" applyFont="1" applyFill="1" applyBorder="1" applyAlignment="1">
      <alignment horizontal="center" vertical="center" wrapText="1"/>
    </xf>
    <xf numFmtId="164" fontId="23" fillId="0" borderId="12" xfId="1" applyNumberFormat="1" applyFont="1" applyFill="1" applyBorder="1" applyAlignment="1">
      <alignment horizontal="center" vertical="center" wrapText="1"/>
    </xf>
    <xf numFmtId="164" fontId="44" fillId="0" borderId="12" xfId="1" applyNumberFormat="1" applyFont="1" applyFill="1" applyBorder="1" applyAlignment="1">
      <alignment horizontal="center" vertical="center" wrapText="1"/>
    </xf>
    <xf numFmtId="165" fontId="23" fillId="0" borderId="12" xfId="1" applyNumberFormat="1" applyFont="1" applyFill="1" applyBorder="1" applyAlignment="1">
      <alignment horizontal="center" vertical="center" wrapText="1"/>
    </xf>
    <xf numFmtId="166" fontId="23" fillId="0" borderId="12" xfId="1" quotePrefix="1" applyNumberFormat="1" applyFont="1" applyFill="1" applyBorder="1" applyAlignment="1">
      <alignment horizontal="center" vertical="center" wrapText="1"/>
    </xf>
    <xf numFmtId="9" fontId="23" fillId="0" borderId="12" xfId="1" quotePrefix="1" applyNumberFormat="1" applyFont="1" applyFill="1" applyBorder="1" applyAlignment="1">
      <alignment horizontal="center" vertical="center" wrapText="1"/>
    </xf>
    <xf numFmtId="165" fontId="23" fillId="0" borderId="12" xfId="1" quotePrefix="1" applyNumberFormat="1" applyFont="1" applyFill="1" applyBorder="1" applyAlignment="1">
      <alignment horizontal="center" vertical="center" wrapText="1"/>
    </xf>
    <xf numFmtId="165" fontId="16" fillId="0" borderId="15" xfId="1" applyNumberFormat="1" applyFont="1" applyFill="1" applyBorder="1" applyAlignment="1">
      <alignment horizontal="center" vertical="center" wrapText="1"/>
    </xf>
    <xf numFmtId="165" fontId="17" fillId="0" borderId="0" xfId="1" applyNumberFormat="1" applyFont="1" applyFill="1" applyBorder="1" applyAlignment="1">
      <alignment horizontal="center" vertical="center" wrapText="1"/>
    </xf>
    <xf numFmtId="0" fontId="45" fillId="0" borderId="0" xfId="1" applyFont="1" applyFill="1"/>
    <xf numFmtId="164" fontId="33" fillId="0" borderId="12" xfId="1" applyNumberFormat="1" applyFont="1" applyFill="1" applyBorder="1" applyAlignment="1">
      <alignment horizontal="center" vertical="center" wrapText="1"/>
    </xf>
    <xf numFmtId="165" fontId="33" fillId="0" borderId="12" xfId="1" applyNumberFormat="1" applyFont="1" applyFill="1" applyBorder="1" applyAlignment="1">
      <alignment horizontal="center" vertical="center" wrapText="1"/>
    </xf>
    <xf numFmtId="165" fontId="34" fillId="0" borderId="0" xfId="1" applyNumberFormat="1" applyFont="1" applyFill="1" applyBorder="1" applyAlignment="1">
      <alignment horizontal="center" vertical="center" wrapText="1"/>
    </xf>
    <xf numFmtId="0" fontId="45" fillId="5" borderId="0" xfId="1" applyFont="1" applyFill="1"/>
    <xf numFmtId="164" fontId="30" fillId="0" borderId="12" xfId="1" applyNumberFormat="1" applyFont="1" applyFill="1" applyBorder="1" applyAlignment="1">
      <alignment horizontal="center" vertical="center" wrapText="1"/>
    </xf>
    <xf numFmtId="165" fontId="30" fillId="0" borderId="12" xfId="1" applyNumberFormat="1" applyFont="1" applyFill="1" applyBorder="1" applyAlignment="1">
      <alignment horizontal="center" vertical="center" wrapText="1"/>
    </xf>
    <xf numFmtId="49" fontId="47" fillId="0" borderId="14" xfId="1" applyNumberFormat="1" applyFont="1" applyFill="1" applyBorder="1" applyAlignment="1">
      <alignment horizontal="center" vertical="center" wrapText="1"/>
    </xf>
    <xf numFmtId="164" fontId="14" fillId="0" borderId="12" xfId="2" applyNumberFormat="1" applyFont="1" applyFill="1" applyBorder="1" applyAlignment="1">
      <alignment horizontal="left" vertical="center" wrapText="1"/>
    </xf>
    <xf numFmtId="49" fontId="47" fillId="0" borderId="12"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5" fontId="7" fillId="0" borderId="12" xfId="1" applyNumberFormat="1" applyFont="1" applyFill="1" applyBorder="1" applyAlignment="1">
      <alignment horizontal="center" vertical="center" wrapText="1"/>
    </xf>
    <xf numFmtId="165" fontId="7" fillId="0" borderId="12" xfId="1" quotePrefix="1" applyNumberFormat="1" applyFont="1" applyFill="1" applyBorder="1" applyAlignment="1">
      <alignment horizontal="center" vertical="center" wrapText="1"/>
    </xf>
    <xf numFmtId="166" fontId="7" fillId="0" borderId="12" xfId="1" quotePrefix="1" applyNumberFormat="1" applyFont="1" applyFill="1" applyBorder="1" applyAlignment="1">
      <alignment horizontal="center" vertical="center" wrapText="1"/>
    </xf>
    <xf numFmtId="9" fontId="7" fillId="0" borderId="12" xfId="1" quotePrefix="1" applyNumberFormat="1" applyFont="1" applyFill="1" applyBorder="1" applyAlignment="1">
      <alignment horizontal="center" vertical="center" wrapText="1"/>
    </xf>
    <xf numFmtId="165" fontId="16" fillId="0" borderId="0" xfId="1" applyNumberFormat="1" applyFont="1" applyFill="1" applyBorder="1" applyAlignment="1">
      <alignment horizontal="center" vertical="center" wrapText="1"/>
    </xf>
    <xf numFmtId="0" fontId="38" fillId="0" borderId="0" xfId="1" applyFont="1" applyFill="1"/>
    <xf numFmtId="9" fontId="16" fillId="0" borderId="12" xfId="1" applyNumberFormat="1" applyFont="1" applyFill="1" applyBorder="1" applyAlignment="1">
      <alignment horizontal="center" vertical="center" wrapText="1"/>
    </xf>
    <xf numFmtId="49" fontId="51" fillId="0" borderId="14" xfId="1" applyNumberFormat="1" applyFont="1" applyFill="1" applyBorder="1" applyAlignment="1">
      <alignment horizontal="center" vertical="center" wrapText="1"/>
    </xf>
    <xf numFmtId="167" fontId="31" fillId="0" borderId="12" xfId="1" applyNumberFormat="1" applyFont="1" applyFill="1" applyBorder="1" applyAlignment="1">
      <alignment horizontal="center" vertical="center" wrapText="1"/>
    </xf>
    <xf numFmtId="49" fontId="51" fillId="0" borderId="12" xfId="1" applyNumberFormat="1" applyFont="1" applyFill="1" applyBorder="1" applyAlignment="1">
      <alignment horizontal="center" vertical="center" wrapText="1"/>
    </xf>
    <xf numFmtId="164" fontId="31" fillId="0" borderId="12" xfId="1" applyNumberFormat="1" applyFont="1" applyFill="1" applyBorder="1" applyAlignment="1">
      <alignment horizontal="center" vertical="center" wrapText="1"/>
    </xf>
    <xf numFmtId="165" fontId="31" fillId="0" borderId="12" xfId="1" applyNumberFormat="1" applyFont="1" applyFill="1" applyBorder="1" applyAlignment="1">
      <alignment horizontal="center" vertical="center" wrapText="1"/>
    </xf>
    <xf numFmtId="165" fontId="31" fillId="0" borderId="12" xfId="1" quotePrefix="1" applyNumberFormat="1" applyFont="1" applyFill="1" applyBorder="1" applyAlignment="1">
      <alignment horizontal="center" vertical="center" wrapText="1"/>
    </xf>
    <xf numFmtId="166" fontId="33" fillId="0" borderId="12" xfId="1" quotePrefix="1" applyNumberFormat="1" applyFont="1" applyFill="1" applyBorder="1" applyAlignment="1">
      <alignment horizontal="center" vertical="center" wrapText="1"/>
    </xf>
    <xf numFmtId="9" fontId="33" fillId="0" borderId="12" xfId="1" quotePrefix="1" applyNumberFormat="1" applyFont="1" applyFill="1" applyBorder="1" applyAlignment="1">
      <alignment horizontal="center" vertical="center" wrapText="1"/>
    </xf>
    <xf numFmtId="165" fontId="33" fillId="0" borderId="12" xfId="1" quotePrefix="1" applyNumberFormat="1" applyFont="1" applyFill="1" applyBorder="1" applyAlignment="1">
      <alignment horizontal="center" vertical="center" wrapText="1"/>
    </xf>
    <xf numFmtId="165" fontId="52" fillId="0" borderId="15" xfId="1" applyNumberFormat="1" applyFont="1" applyFill="1" applyBorder="1" applyAlignment="1">
      <alignment horizontal="center" vertical="center" wrapText="1"/>
    </xf>
    <xf numFmtId="165" fontId="53" fillId="0" borderId="0" xfId="1" applyNumberFormat="1" applyFont="1" applyFill="1" applyBorder="1" applyAlignment="1">
      <alignment horizontal="center" vertical="center" wrapText="1"/>
    </xf>
    <xf numFmtId="0" fontId="54" fillId="0" borderId="0" xfId="1" applyFont="1" applyFill="1"/>
    <xf numFmtId="167" fontId="31" fillId="0" borderId="12" xfId="1" applyNumberFormat="1" applyFont="1" applyFill="1" applyBorder="1" applyAlignment="1">
      <alignment vertical="center" wrapText="1"/>
    </xf>
    <xf numFmtId="165" fontId="17" fillId="0" borderId="0" xfId="1" applyNumberFormat="1" applyFont="1" applyFill="1" applyBorder="1" applyAlignment="1">
      <alignment horizontal="left" vertical="center" wrapText="1"/>
    </xf>
    <xf numFmtId="165" fontId="31" fillId="0" borderId="12" xfId="1" applyNumberFormat="1" applyFont="1" applyFill="1" applyBorder="1" applyAlignment="1">
      <alignment horizontal="left" vertical="center" wrapText="1"/>
    </xf>
    <xf numFmtId="165" fontId="31" fillId="0" borderId="12" xfId="1" quotePrefix="1" applyNumberFormat="1" applyFont="1" applyFill="1" applyBorder="1" applyAlignment="1">
      <alignment horizontal="left" vertical="center" wrapText="1"/>
    </xf>
    <xf numFmtId="167" fontId="16" fillId="0" borderId="12" xfId="1" applyNumberFormat="1" applyFont="1" applyFill="1" applyBorder="1" applyAlignment="1">
      <alignment horizontal="left" vertical="center" wrapText="1"/>
    </xf>
    <xf numFmtId="0" fontId="56" fillId="0" borderId="0" xfId="1" applyFont="1" applyFill="1"/>
    <xf numFmtId="49" fontId="57" fillId="0" borderId="14" xfId="1" applyNumberFormat="1" applyFont="1" applyFill="1" applyBorder="1" applyAlignment="1">
      <alignment horizontal="center" vertical="center" wrapText="1"/>
    </xf>
    <xf numFmtId="49" fontId="57" fillId="0" borderId="12" xfId="1" applyNumberFormat="1" applyFont="1" applyFill="1" applyBorder="1" applyAlignment="1">
      <alignment horizontal="center" vertical="center" wrapText="1"/>
    </xf>
    <xf numFmtId="164" fontId="48" fillId="0" borderId="12" xfId="1" applyNumberFormat="1" applyFont="1" applyFill="1" applyBorder="1" applyAlignment="1">
      <alignment horizontal="center" vertical="center" wrapText="1"/>
    </xf>
    <xf numFmtId="165" fontId="48" fillId="0" borderId="12" xfId="1" applyNumberFormat="1" applyFont="1" applyFill="1" applyBorder="1" applyAlignment="1">
      <alignment horizontal="center" vertical="center" wrapText="1"/>
    </xf>
    <xf numFmtId="165" fontId="48" fillId="0" borderId="12" xfId="1" quotePrefix="1" applyNumberFormat="1" applyFont="1" applyFill="1" applyBorder="1" applyAlignment="1">
      <alignment horizontal="center" vertical="center" wrapText="1"/>
    </xf>
    <xf numFmtId="165" fontId="52" fillId="0" borderId="0" xfId="1" applyNumberFormat="1" applyFont="1" applyFill="1" applyBorder="1" applyAlignment="1">
      <alignment horizontal="center" vertical="center" wrapText="1"/>
    </xf>
    <xf numFmtId="0" fontId="58" fillId="0" borderId="0" xfId="1" applyFont="1" applyFill="1"/>
    <xf numFmtId="165" fontId="53" fillId="0" borderId="15" xfId="1" applyNumberFormat="1" applyFont="1" applyFill="1" applyBorder="1" applyAlignment="1">
      <alignment horizontal="center" vertical="center" wrapText="1"/>
    </xf>
    <xf numFmtId="49" fontId="59" fillId="0" borderId="14" xfId="1" applyNumberFormat="1" applyFont="1" applyFill="1" applyBorder="1" applyAlignment="1">
      <alignment horizontal="center" vertical="center" wrapText="1"/>
    </xf>
    <xf numFmtId="49" fontId="60" fillId="0" borderId="12" xfId="1" applyNumberFormat="1" applyFont="1" applyFill="1" applyBorder="1" applyAlignment="1">
      <alignment horizontal="center" vertical="center" wrapText="1"/>
    </xf>
    <xf numFmtId="164" fontId="28" fillId="0" borderId="12" xfId="1" applyNumberFormat="1" applyFont="1" applyFill="1" applyBorder="1" applyAlignment="1">
      <alignment horizontal="center" vertical="center" wrapText="1"/>
    </xf>
    <xf numFmtId="165" fontId="28" fillId="0" borderId="12" xfId="1" applyNumberFormat="1" applyFont="1" applyFill="1" applyBorder="1" applyAlignment="1">
      <alignment horizontal="center" vertical="center" wrapText="1"/>
    </xf>
    <xf numFmtId="165" fontId="48" fillId="0" borderId="12" xfId="1" quotePrefix="1" applyNumberFormat="1" applyFont="1" applyFill="1" applyBorder="1" applyAlignment="1">
      <alignment horizontal="left" vertical="center" wrapText="1"/>
    </xf>
    <xf numFmtId="165" fontId="28" fillId="0" borderId="12" xfId="1" applyNumberFormat="1" applyFont="1" applyFill="1" applyBorder="1" applyAlignment="1">
      <alignment horizontal="left" vertical="center" wrapText="1"/>
    </xf>
    <xf numFmtId="165" fontId="14" fillId="0" borderId="12" xfId="1" applyNumberFormat="1" applyFont="1" applyFill="1" applyBorder="1" applyAlignment="1">
      <alignment horizontal="center" vertical="center" wrapText="1"/>
    </xf>
    <xf numFmtId="165" fontId="61" fillId="0" borderId="0" xfId="1" applyNumberFormat="1" applyFont="1" applyFill="1" applyBorder="1" applyAlignment="1">
      <alignment horizontal="center" vertical="center" wrapText="1"/>
    </xf>
    <xf numFmtId="0" fontId="62" fillId="0" borderId="0" xfId="1" applyFont="1" applyFill="1"/>
    <xf numFmtId="165" fontId="48" fillId="0" borderId="12" xfId="1" applyNumberFormat="1" applyFont="1" applyFill="1" applyBorder="1" applyAlignment="1">
      <alignment horizontal="left" vertical="center" wrapText="1"/>
    </xf>
    <xf numFmtId="165" fontId="52" fillId="0" borderId="15" xfId="1" applyNumberFormat="1" applyFont="1" applyFill="1" applyBorder="1" applyAlignment="1">
      <alignment horizontal="left" vertical="center" wrapText="1"/>
    </xf>
    <xf numFmtId="167" fontId="28" fillId="0" borderId="12" xfId="1" applyNumberFormat="1" applyFont="1" applyFill="1" applyBorder="1" applyAlignment="1">
      <alignment horizontal="center" vertical="center" wrapText="1"/>
    </xf>
    <xf numFmtId="165" fontId="17" fillId="0" borderId="15" xfId="1" applyNumberFormat="1" applyFont="1" applyFill="1" applyBorder="1" applyAlignment="1">
      <alignment horizontal="left" vertical="center" wrapText="1"/>
    </xf>
    <xf numFmtId="165" fontId="63" fillId="0" borderId="15" xfId="1" applyNumberFormat="1" applyFont="1" applyFill="1" applyBorder="1" applyAlignment="1">
      <alignment horizontal="left" vertical="center" wrapText="1"/>
    </xf>
    <xf numFmtId="165" fontId="64" fillId="0" borderId="15" xfId="1" applyNumberFormat="1" applyFont="1" applyFill="1" applyBorder="1" applyAlignment="1">
      <alignment horizontal="center" vertical="center" wrapText="1"/>
    </xf>
    <xf numFmtId="164" fontId="14" fillId="0" borderId="12" xfId="1" applyNumberFormat="1" applyFont="1" applyFill="1" applyBorder="1" applyAlignment="1">
      <alignment horizontal="center" vertical="center" wrapText="1"/>
    </xf>
    <xf numFmtId="0" fontId="65" fillId="0" borderId="0" xfId="1" applyFont="1" applyFill="1"/>
    <xf numFmtId="165" fontId="17" fillId="0" borderId="15"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47" fillId="0" borderId="0" xfId="1" applyFont="1" applyFill="1"/>
    <xf numFmtId="167" fontId="48" fillId="0" borderId="12" xfId="1" applyNumberFormat="1" applyFont="1" applyFill="1" applyBorder="1" applyAlignment="1">
      <alignment vertical="center" wrapText="1"/>
    </xf>
    <xf numFmtId="166" fontId="48" fillId="0" borderId="12" xfId="1" applyNumberFormat="1" applyFont="1" applyFill="1" applyBorder="1" applyAlignment="1">
      <alignment horizontal="center" vertical="center" wrapText="1"/>
    </xf>
    <xf numFmtId="9" fontId="48" fillId="0" borderId="12" xfId="1" applyNumberFormat="1" applyFont="1" applyFill="1" applyBorder="1" applyAlignment="1">
      <alignment horizontal="center" vertical="center" wrapText="1"/>
    </xf>
    <xf numFmtId="0" fontId="36" fillId="5" borderId="0" xfId="1" applyFont="1" applyFill="1"/>
    <xf numFmtId="164" fontId="48" fillId="0" borderId="12" xfId="1" quotePrefix="1" applyNumberFormat="1" applyFont="1" applyFill="1" applyBorder="1" applyAlignment="1">
      <alignment horizontal="center" vertical="center" wrapText="1"/>
    </xf>
    <xf numFmtId="165" fontId="52" fillId="0" borderId="0" xfId="1" applyNumberFormat="1" applyFont="1" applyFill="1" applyBorder="1" applyAlignment="1">
      <alignment horizontal="left" vertical="center" wrapText="1"/>
    </xf>
    <xf numFmtId="0" fontId="66" fillId="0" borderId="0" xfId="1" applyFont="1" applyFill="1"/>
    <xf numFmtId="0" fontId="67" fillId="0" borderId="0" xfId="1" applyFont="1" applyFill="1"/>
    <xf numFmtId="0" fontId="65" fillId="5" borderId="0" xfId="1" applyFont="1" applyFill="1"/>
    <xf numFmtId="167" fontId="14" fillId="0" borderId="12" xfId="1" applyNumberFormat="1" applyFont="1" applyFill="1" applyBorder="1" applyAlignment="1">
      <alignment horizontal="center" vertical="center" wrapText="1"/>
    </xf>
    <xf numFmtId="165" fontId="63" fillId="0" borderId="15" xfId="1" applyNumberFormat="1" applyFont="1" applyFill="1" applyBorder="1" applyAlignment="1">
      <alignment horizontal="center" vertical="center" wrapText="1"/>
    </xf>
    <xf numFmtId="165" fontId="68" fillId="0" borderId="0" xfId="1" applyNumberFormat="1" applyFont="1" applyFill="1" applyBorder="1" applyAlignment="1">
      <alignment horizontal="center" vertical="center" wrapText="1"/>
    </xf>
    <xf numFmtId="0" fontId="69" fillId="0" borderId="0" xfId="1" applyFont="1" applyFill="1"/>
    <xf numFmtId="165" fontId="70" fillId="0" borderId="0" xfId="1" applyNumberFormat="1" applyFont="1" applyFill="1" applyBorder="1" applyAlignment="1">
      <alignment horizontal="center" vertical="center" wrapText="1"/>
    </xf>
    <xf numFmtId="0" fontId="71" fillId="0" borderId="0" xfId="1" applyFont="1" applyFill="1"/>
    <xf numFmtId="167" fontId="53" fillId="0" borderId="12" xfId="1" applyNumberFormat="1" applyFont="1" applyFill="1" applyBorder="1" applyAlignment="1">
      <alignment vertical="center" wrapText="1"/>
    </xf>
    <xf numFmtId="49" fontId="59" fillId="0" borderId="12" xfId="1" applyNumberFormat="1" applyFont="1" applyFill="1" applyBorder="1" applyAlignment="1">
      <alignment horizontal="center" vertical="center" wrapText="1"/>
    </xf>
    <xf numFmtId="165" fontId="33" fillId="0" borderId="12" xfId="1" applyNumberFormat="1" applyFont="1" applyFill="1" applyBorder="1" applyAlignment="1">
      <alignment horizontal="left" vertical="center" wrapText="1"/>
    </xf>
    <xf numFmtId="165" fontId="72" fillId="0" borderId="12" xfId="1" applyNumberFormat="1" applyFont="1" applyFill="1" applyBorder="1" applyAlignment="1">
      <alignment horizontal="center" vertical="center" wrapText="1"/>
    </xf>
    <xf numFmtId="0" fontId="73" fillId="0" borderId="0" xfId="1" applyFont="1" applyFill="1"/>
    <xf numFmtId="167" fontId="53" fillId="5" borderId="12" xfId="1" applyNumberFormat="1" applyFont="1" applyFill="1" applyBorder="1" applyAlignment="1">
      <alignment vertical="center" wrapText="1"/>
    </xf>
    <xf numFmtId="168" fontId="33" fillId="0" borderId="12" xfId="1" applyNumberFormat="1" applyFont="1" applyFill="1" applyBorder="1" applyAlignment="1">
      <alignment horizontal="center" vertical="center" wrapText="1"/>
    </xf>
    <xf numFmtId="165" fontId="63" fillId="0" borderId="15" xfId="1" applyNumberFormat="1" applyFont="1" applyFill="1" applyBorder="1" applyAlignment="1">
      <alignment vertical="center" wrapText="1"/>
    </xf>
    <xf numFmtId="165" fontId="63" fillId="0" borderId="15" xfId="1" quotePrefix="1" applyNumberFormat="1" applyFont="1" applyFill="1" applyBorder="1" applyAlignment="1">
      <alignment horizontal="left" vertical="center" wrapText="1"/>
    </xf>
    <xf numFmtId="167" fontId="7" fillId="0" borderId="12" xfId="1" applyNumberFormat="1" applyFont="1" applyFill="1" applyBorder="1" applyAlignment="1">
      <alignment horizontal="left" vertical="center" wrapText="1"/>
    </xf>
    <xf numFmtId="164" fontId="75" fillId="0" borderId="12" xfId="1" applyNumberFormat="1" applyFont="1" applyFill="1" applyBorder="1" applyAlignment="1">
      <alignment horizontal="center" vertical="center" wrapText="1"/>
    </xf>
    <xf numFmtId="0" fontId="7" fillId="0" borderId="0" xfId="1" applyFont="1" applyFill="1"/>
    <xf numFmtId="0" fontId="46" fillId="0" borderId="0" xfId="1" applyFont="1"/>
    <xf numFmtId="165" fontId="30" fillId="0" borderId="0" xfId="1" applyNumberFormat="1" applyFont="1" applyFill="1" applyBorder="1" applyAlignment="1">
      <alignment horizontal="center" vertical="center" wrapText="1"/>
    </xf>
    <xf numFmtId="0" fontId="46" fillId="0" borderId="0" xfId="1" applyFont="1" applyFill="1"/>
    <xf numFmtId="164" fontId="48" fillId="0" borderId="0" xfId="1" applyNumberFormat="1" applyFont="1" applyFill="1" applyBorder="1" applyAlignment="1">
      <alignment horizontal="center" vertical="center" wrapText="1"/>
    </xf>
    <xf numFmtId="0" fontId="76" fillId="0" borderId="0" xfId="1" applyFont="1"/>
    <xf numFmtId="165" fontId="23" fillId="0" borderId="0" xfId="1" applyNumberFormat="1" applyFont="1" applyFill="1" applyBorder="1" applyAlignment="1">
      <alignment horizontal="center" vertical="center" wrapText="1"/>
    </xf>
    <xf numFmtId="0" fontId="76" fillId="0" borderId="0" xfId="1" applyFont="1" applyFill="1"/>
    <xf numFmtId="0" fontId="77" fillId="0" borderId="0" xfId="1" applyFont="1" applyFill="1"/>
    <xf numFmtId="49" fontId="78" fillId="0" borderId="14" xfId="1" applyNumberFormat="1" applyFont="1" applyFill="1" applyBorder="1" applyAlignment="1">
      <alignment horizontal="center" vertical="center" wrapText="1"/>
    </xf>
    <xf numFmtId="165" fontId="14" fillId="0" borderId="12" xfId="1" applyNumberFormat="1" applyFont="1" applyFill="1" applyBorder="1" applyAlignment="1">
      <alignment horizontal="left" vertical="center" wrapText="1"/>
    </xf>
    <xf numFmtId="165" fontId="14" fillId="3" borderId="12" xfId="1" applyNumberFormat="1" applyFont="1" applyFill="1" applyBorder="1" applyAlignment="1">
      <alignment horizontal="center" vertical="center" wrapText="1"/>
    </xf>
    <xf numFmtId="165" fontId="64" fillId="0" borderId="15" xfId="1" quotePrefix="1" applyNumberFormat="1" applyFont="1" applyFill="1" applyBorder="1" applyAlignment="1">
      <alignment horizontal="left" vertical="center" wrapText="1"/>
    </xf>
    <xf numFmtId="165" fontId="74" fillId="0" borderId="0" xfId="1" quotePrefix="1" applyNumberFormat="1" applyFont="1" applyFill="1" applyBorder="1" applyAlignment="1">
      <alignment horizontal="left" vertical="center" wrapText="1"/>
    </xf>
    <xf numFmtId="49" fontId="79" fillId="0" borderId="1" xfId="1" applyNumberFormat="1" applyFont="1" applyFill="1" applyBorder="1" applyAlignment="1">
      <alignment vertical="center"/>
    </xf>
    <xf numFmtId="165" fontId="31" fillId="0" borderId="12" xfId="1" quotePrefix="1" applyNumberFormat="1" applyFont="1" applyFill="1" applyBorder="1" applyAlignment="1">
      <alignment horizontal="left" vertical="center" wrapText="1"/>
    </xf>
    <xf numFmtId="165" fontId="14" fillId="0" borderId="12" xfId="1" quotePrefix="1" applyNumberFormat="1" applyFont="1" applyFill="1" applyBorder="1" applyAlignment="1">
      <alignment horizontal="left" vertical="center" wrapText="1"/>
    </xf>
    <xf numFmtId="165" fontId="14" fillId="0" borderId="12" xfId="1" quotePrefix="1" applyNumberFormat="1" applyFont="1" applyFill="1" applyBorder="1" applyAlignment="1">
      <alignment horizontal="center" vertical="center" wrapText="1"/>
    </xf>
    <xf numFmtId="165" fontId="74" fillId="0" borderId="0" xfId="1" applyNumberFormat="1" applyFont="1" applyFill="1" applyBorder="1" applyAlignment="1">
      <alignment horizontal="left" vertical="center" wrapText="1"/>
    </xf>
    <xf numFmtId="0" fontId="80" fillId="0" borderId="0" xfId="1" applyFont="1" applyFill="1"/>
    <xf numFmtId="165" fontId="48" fillId="0" borderId="12" xfId="1" applyNumberFormat="1" applyFont="1" applyFill="1" applyBorder="1" applyAlignment="1">
      <alignment vertical="center" wrapText="1"/>
    </xf>
    <xf numFmtId="49" fontId="83" fillId="0" borderId="18" xfId="1" applyNumberFormat="1" applyFont="1" applyFill="1" applyBorder="1" applyAlignment="1">
      <alignment vertical="center"/>
    </xf>
    <xf numFmtId="49" fontId="51" fillId="0" borderId="14" xfId="1" applyNumberFormat="1" applyFont="1" applyFill="1" applyBorder="1" applyAlignment="1">
      <alignment vertical="center"/>
    </xf>
    <xf numFmtId="165" fontId="51" fillId="0" borderId="12" xfId="1" applyNumberFormat="1" applyFont="1" applyFill="1" applyBorder="1" applyAlignment="1">
      <alignment horizontal="left" vertical="center" wrapText="1"/>
    </xf>
    <xf numFmtId="49" fontId="78" fillId="0" borderId="14" xfId="1" applyNumberFormat="1" applyFont="1" applyFill="1" applyBorder="1" applyAlignment="1">
      <alignment horizontal="center" vertical="center"/>
    </xf>
    <xf numFmtId="165" fontId="84" fillId="0" borderId="12" xfId="1" applyNumberFormat="1" applyFont="1" applyFill="1" applyBorder="1" applyAlignment="1">
      <alignment horizontal="left" vertical="center" wrapText="1"/>
    </xf>
    <xf numFmtId="165" fontId="60" fillId="0" borderId="12" xfId="1" applyNumberFormat="1" applyFont="1" applyFill="1" applyBorder="1" applyAlignment="1">
      <alignment horizontal="left" vertical="center" wrapText="1"/>
    </xf>
    <xf numFmtId="165" fontId="84" fillId="0" borderId="12" xfId="1" applyNumberFormat="1" applyFont="1" applyFill="1" applyBorder="1" applyAlignment="1">
      <alignment horizontal="center" vertical="center" wrapText="1"/>
    </xf>
    <xf numFmtId="165" fontId="23" fillId="0" borderId="12" xfId="1" applyNumberFormat="1" applyFont="1" applyFill="1" applyBorder="1" applyAlignment="1">
      <alignment horizontal="left" vertical="center" wrapText="1"/>
    </xf>
    <xf numFmtId="165" fontId="44" fillId="0" borderId="12" xfId="1" applyNumberFormat="1" applyFont="1" applyFill="1" applyBorder="1" applyAlignment="1">
      <alignment horizontal="center" vertical="center" wrapText="1"/>
    </xf>
    <xf numFmtId="165" fontId="48" fillId="6" borderId="12" xfId="1" quotePrefix="1" applyNumberFormat="1" applyFont="1" applyFill="1" applyBorder="1" applyAlignment="1">
      <alignment horizontal="left" vertical="center" wrapText="1"/>
    </xf>
    <xf numFmtId="165" fontId="44" fillId="0" borderId="12" xfId="1" quotePrefix="1" applyNumberFormat="1" applyFont="1" applyFill="1" applyBorder="1" applyAlignment="1">
      <alignment horizontal="left" vertical="center" wrapText="1"/>
    </xf>
    <xf numFmtId="165" fontId="21" fillId="0" borderId="12" xfId="1" applyNumberFormat="1" applyFont="1" applyFill="1" applyBorder="1" applyAlignment="1">
      <alignment horizontal="center" vertical="center" wrapText="1"/>
    </xf>
    <xf numFmtId="165" fontId="23" fillId="0" borderId="0" xfId="1" applyNumberFormat="1" applyFont="1" applyFill="1" applyBorder="1" applyAlignment="1">
      <alignment horizontal="left" vertical="center" wrapText="1"/>
    </xf>
    <xf numFmtId="165" fontId="31" fillId="0" borderId="12" xfId="1" applyNumberFormat="1" applyFont="1" applyFill="1" applyBorder="1" applyAlignment="1">
      <alignment vertical="center" wrapText="1"/>
    </xf>
    <xf numFmtId="0" fontId="85" fillId="0" borderId="0" xfId="1" applyFont="1" applyFill="1"/>
    <xf numFmtId="165" fontId="75" fillId="0" borderId="12" xfId="1" applyNumberFormat="1" applyFont="1" applyFill="1" applyBorder="1" applyAlignment="1">
      <alignment horizontal="center" vertical="center" wrapText="1"/>
    </xf>
    <xf numFmtId="165" fontId="75" fillId="0" borderId="12" xfId="1" quotePrefix="1" applyNumberFormat="1" applyFont="1" applyFill="1" applyBorder="1" applyAlignment="1">
      <alignment horizontal="left" vertical="center" wrapText="1"/>
    </xf>
    <xf numFmtId="165" fontId="70" fillId="0" borderId="0" xfId="1" applyNumberFormat="1" applyFont="1" applyFill="1" applyBorder="1" applyAlignment="1">
      <alignment horizontal="left" vertical="center" wrapText="1"/>
    </xf>
    <xf numFmtId="165" fontId="40" fillId="0" borderId="12" xfId="1" applyNumberFormat="1" applyFont="1" applyFill="1" applyBorder="1" applyAlignment="1">
      <alignment horizontal="left" vertical="center" wrapText="1"/>
    </xf>
    <xf numFmtId="165" fontId="27" fillId="0" borderId="12" xfId="1" applyNumberFormat="1" applyFont="1" applyFill="1" applyBorder="1" applyAlignment="1">
      <alignment horizontal="center" vertical="center" wrapText="1"/>
    </xf>
    <xf numFmtId="165" fontId="57" fillId="0" borderId="12" xfId="1" applyNumberFormat="1" applyFont="1" applyFill="1" applyBorder="1" applyAlignment="1">
      <alignment horizontal="left" vertical="center" wrapText="1"/>
    </xf>
    <xf numFmtId="165" fontId="86" fillId="0" borderId="15" xfId="1" applyNumberFormat="1" applyFont="1" applyFill="1" applyBorder="1" applyAlignment="1">
      <alignment horizontal="center" vertical="center" wrapText="1"/>
    </xf>
    <xf numFmtId="165" fontId="25" fillId="0" borderId="0" xfId="1" applyNumberFormat="1" applyFont="1" applyFill="1" applyBorder="1" applyAlignment="1">
      <alignment horizontal="center" vertical="center" wrapText="1"/>
    </xf>
    <xf numFmtId="0" fontId="87" fillId="0" borderId="0" xfId="1" applyFont="1" applyFill="1"/>
    <xf numFmtId="165" fontId="48" fillId="0" borderId="0" xfId="1" applyNumberFormat="1" applyFont="1" applyFill="1" applyBorder="1" applyAlignment="1">
      <alignment horizontal="center" vertical="center" wrapText="1"/>
    </xf>
    <xf numFmtId="0" fontId="88" fillId="0" borderId="0" xfId="1" applyFont="1" applyFill="1"/>
    <xf numFmtId="165" fontId="57" fillId="0" borderId="14" xfId="1" applyNumberFormat="1" applyFont="1" applyFill="1" applyBorder="1" applyAlignment="1">
      <alignment horizontal="center" vertical="center" wrapText="1"/>
    </xf>
    <xf numFmtId="0" fontId="43" fillId="0" borderId="0" xfId="1" applyFont="1" applyFill="1"/>
    <xf numFmtId="165" fontId="89" fillId="0" borderId="12" xfId="1" applyNumberFormat="1" applyFont="1" applyFill="1" applyBorder="1"/>
    <xf numFmtId="165" fontId="14" fillId="0" borderId="0" xfId="1" applyNumberFormat="1" applyFont="1" applyFill="1" applyBorder="1" applyAlignment="1">
      <alignment horizontal="center" vertical="center" wrapText="1"/>
    </xf>
    <xf numFmtId="0" fontId="89" fillId="0" borderId="0" xfId="1" applyFont="1" applyFill="1"/>
    <xf numFmtId="165" fontId="90" fillId="0" borderId="12" xfId="1" applyNumberFormat="1" applyFont="1" applyFill="1" applyBorder="1"/>
    <xf numFmtId="165" fontId="64" fillId="0" borderId="15" xfId="1" applyNumberFormat="1" applyFont="1" applyFill="1" applyBorder="1" applyAlignment="1">
      <alignment horizontal="left" vertical="center" wrapText="1"/>
    </xf>
    <xf numFmtId="0" fontId="90" fillId="0" borderId="0" xfId="1" applyFont="1" applyFill="1"/>
    <xf numFmtId="164" fontId="14" fillId="3" borderId="12" xfId="1" applyNumberFormat="1" applyFont="1" applyFill="1" applyBorder="1" applyAlignment="1">
      <alignment horizontal="center" vertical="center" wrapText="1"/>
    </xf>
    <xf numFmtId="0" fontId="39" fillId="0" borderId="0" xfId="1" applyFont="1"/>
    <xf numFmtId="169" fontId="14" fillId="0" borderId="12" xfId="1" applyNumberFormat="1" applyFont="1" applyFill="1" applyBorder="1" applyAlignment="1">
      <alignment horizontal="center" vertical="center" wrapText="1"/>
    </xf>
    <xf numFmtId="165" fontId="14" fillId="0" borderId="0" xfId="1" applyNumberFormat="1" applyFont="1" applyFill="1" applyBorder="1" applyAlignment="1">
      <alignment horizontal="left" vertical="center" wrapText="1"/>
    </xf>
    <xf numFmtId="165" fontId="7" fillId="0" borderId="12" xfId="1" applyNumberFormat="1" applyFont="1" applyFill="1" applyBorder="1" applyAlignment="1">
      <alignment vertical="center" wrapText="1"/>
    </xf>
    <xf numFmtId="165" fontId="43" fillId="0" borderId="14" xfId="1" applyNumberFormat="1" applyFont="1" applyFill="1" applyBorder="1" applyAlignment="1">
      <alignment horizontal="center" vertical="center" wrapText="1"/>
    </xf>
    <xf numFmtId="165" fontId="78" fillId="0" borderId="14" xfId="1" applyNumberFormat="1" applyFont="1" applyFill="1" applyBorder="1" applyAlignment="1">
      <alignment horizontal="center" vertical="center" wrapText="1"/>
    </xf>
    <xf numFmtId="165" fontId="23" fillId="0" borderId="12" xfId="4" applyNumberFormat="1" applyFont="1" applyFill="1" applyBorder="1" applyAlignment="1">
      <alignment horizontal="left" vertical="center" wrapText="1"/>
    </xf>
    <xf numFmtId="165" fontId="21" fillId="0" borderId="12" xfId="1" quotePrefix="1" applyNumberFormat="1" applyFont="1" applyFill="1" applyBorder="1" applyAlignment="1">
      <alignment horizontal="left" vertical="center" wrapText="1"/>
    </xf>
    <xf numFmtId="165" fontId="21" fillId="0" borderId="12" xfId="1" quotePrefix="1" applyNumberFormat="1" applyFont="1" applyFill="1" applyBorder="1" applyAlignment="1">
      <alignment horizontal="center" vertical="center" wrapText="1"/>
    </xf>
    <xf numFmtId="165" fontId="21" fillId="0" borderId="12" xfId="1" applyNumberFormat="1" applyFont="1" applyFill="1" applyBorder="1" applyAlignment="1">
      <alignment horizontal="left" vertical="center" wrapText="1"/>
    </xf>
    <xf numFmtId="165" fontId="92" fillId="0" borderId="15" xfId="1" applyNumberFormat="1" applyFont="1" applyFill="1" applyBorder="1" applyAlignment="1">
      <alignment horizontal="left" vertical="center" wrapText="1"/>
    </xf>
    <xf numFmtId="165" fontId="21" fillId="0" borderId="0" xfId="1" applyNumberFormat="1" applyFont="1" applyFill="1" applyBorder="1" applyAlignment="1">
      <alignment horizontal="left" vertical="center" wrapText="1"/>
    </xf>
    <xf numFmtId="0" fontId="93" fillId="0" borderId="0" xfId="1" applyFont="1" applyFill="1"/>
    <xf numFmtId="165" fontId="7" fillId="0" borderId="12" xfId="4" applyNumberFormat="1" applyFont="1" applyFill="1" applyBorder="1" applyAlignment="1">
      <alignment horizontal="left" vertical="center" wrapText="1"/>
    </xf>
    <xf numFmtId="165" fontId="7" fillId="0" borderId="15" xfId="1" applyNumberFormat="1" applyFont="1" applyFill="1" applyBorder="1" applyAlignment="1">
      <alignment horizontal="left" vertical="center" wrapText="1"/>
    </xf>
    <xf numFmtId="165" fontId="7" fillId="0" borderId="11" xfId="4" applyNumberFormat="1" applyFont="1" applyFill="1" applyBorder="1" applyAlignment="1">
      <alignment horizontal="left" vertical="center" wrapText="1"/>
    </xf>
    <xf numFmtId="165" fontId="33" fillId="0" borderId="11" xfId="4" applyNumberFormat="1" applyFont="1" applyFill="1" applyBorder="1" applyAlignment="1">
      <alignment horizontal="left" vertical="center" wrapText="1"/>
    </xf>
    <xf numFmtId="165" fontId="33" fillId="0" borderId="15" xfId="1" applyNumberFormat="1" applyFont="1" applyFill="1" applyBorder="1" applyAlignment="1">
      <alignment horizontal="left" vertical="center" wrapText="1"/>
    </xf>
    <xf numFmtId="165" fontId="31" fillId="0" borderId="0" xfId="1" applyNumberFormat="1" applyFont="1" applyFill="1" applyBorder="1" applyAlignment="1">
      <alignment horizontal="left" vertical="center" wrapText="1"/>
    </xf>
    <xf numFmtId="0" fontId="94" fillId="0" borderId="0" xfId="1" applyFont="1" applyFill="1"/>
    <xf numFmtId="165" fontId="7" fillId="0" borderId="12" xfId="1" applyNumberFormat="1" applyFont="1" applyFill="1" applyBorder="1" applyAlignment="1">
      <alignment horizontal="center" vertical="center" wrapText="1"/>
    </xf>
    <xf numFmtId="0" fontId="16" fillId="0" borderId="0" xfId="1" applyFont="1" applyFill="1"/>
    <xf numFmtId="165" fontId="38" fillId="0" borderId="14" xfId="1" applyNumberFormat="1" applyFont="1" applyFill="1" applyBorder="1" applyAlignment="1">
      <alignment horizontal="center" vertical="center" wrapText="1"/>
    </xf>
    <xf numFmtId="165" fontId="16" fillId="0" borderId="12" xfId="1" applyNumberFormat="1" applyFont="1" applyFill="1" applyBorder="1" applyAlignment="1">
      <alignment vertical="center" wrapText="1"/>
    </xf>
    <xf numFmtId="165" fontId="38" fillId="0" borderId="12" xfId="1" applyNumberFormat="1" applyFont="1" applyFill="1" applyBorder="1" applyAlignment="1">
      <alignment horizontal="center" vertical="center" wrapText="1"/>
    </xf>
    <xf numFmtId="165" fontId="40" fillId="0" borderId="14" xfId="1" applyNumberFormat="1" applyFont="1" applyFill="1" applyBorder="1" applyAlignment="1">
      <alignment horizontal="center" vertical="center" wrapText="1"/>
    </xf>
    <xf numFmtId="165" fontId="27" fillId="0" borderId="12" xfId="1" applyNumberFormat="1" applyFont="1" applyFill="1" applyBorder="1" applyAlignment="1">
      <alignment vertical="center" wrapText="1"/>
    </xf>
    <xf numFmtId="165" fontId="40" fillId="0" borderId="12" xfId="1" applyNumberFormat="1" applyFont="1" applyFill="1" applyBorder="1" applyAlignment="1">
      <alignment horizontal="center" vertical="center" wrapText="1"/>
    </xf>
    <xf numFmtId="165" fontId="46" fillId="0" borderId="12" xfId="1" applyNumberFormat="1" applyFont="1" applyFill="1" applyBorder="1" applyAlignment="1">
      <alignment horizontal="center" vertical="center" wrapText="1"/>
    </xf>
    <xf numFmtId="165" fontId="30" fillId="0" borderId="12" xfId="1" quotePrefix="1" applyNumberFormat="1" applyFont="1" applyFill="1" applyBorder="1" applyAlignment="1">
      <alignment horizontal="center" vertical="center" wrapText="1"/>
    </xf>
    <xf numFmtId="167" fontId="48" fillId="0" borderId="0" xfId="1" applyNumberFormat="1" applyFont="1" applyFill="1" applyBorder="1" applyAlignment="1">
      <alignment horizontal="center" vertical="center" wrapText="1"/>
    </xf>
    <xf numFmtId="165" fontId="16" fillId="0" borderId="15" xfId="1" applyNumberFormat="1" applyFont="1" applyFill="1" applyBorder="1" applyAlignment="1">
      <alignment horizontal="left" vertical="center" wrapText="1"/>
    </xf>
    <xf numFmtId="170" fontId="48" fillId="0" borderId="12" xfId="1" applyNumberFormat="1" applyFont="1" applyFill="1" applyBorder="1" applyAlignment="1">
      <alignment horizontal="center" vertical="center" wrapText="1"/>
    </xf>
    <xf numFmtId="165" fontId="48" fillId="0" borderId="15" xfId="1" applyNumberFormat="1" applyFont="1" applyFill="1" applyBorder="1" applyAlignment="1">
      <alignment horizontal="center" vertical="center" wrapText="1"/>
    </xf>
    <xf numFmtId="0" fontId="67" fillId="0" borderId="0" xfId="1" applyFont="1"/>
    <xf numFmtId="165" fontId="47" fillId="0" borderId="14" xfId="1" applyNumberFormat="1" applyFont="1" applyFill="1" applyBorder="1" applyAlignment="1">
      <alignment horizontal="center" vertical="center"/>
    </xf>
    <xf numFmtId="165" fontId="57" fillId="0" borderId="14" xfId="1" applyNumberFormat="1" applyFont="1" applyFill="1" applyBorder="1" applyAlignment="1">
      <alignment horizontal="center" vertical="center"/>
    </xf>
    <xf numFmtId="165" fontId="57" fillId="0" borderId="12" xfId="1" applyNumberFormat="1" applyFont="1" applyFill="1" applyBorder="1" applyAlignment="1">
      <alignment horizontal="center" vertical="center" wrapText="1"/>
    </xf>
    <xf numFmtId="165" fontId="48" fillId="0" borderId="15" xfId="1" applyNumberFormat="1" applyFont="1" applyFill="1" applyBorder="1" applyAlignment="1">
      <alignment horizontal="left" vertical="center" wrapText="1"/>
    </xf>
    <xf numFmtId="0" fontId="77" fillId="0" borderId="0" xfId="1" applyFont="1" applyFill="1" applyAlignment="1"/>
    <xf numFmtId="165" fontId="95" fillId="0" borderId="12" xfId="1" applyNumberFormat="1" applyFont="1" applyFill="1" applyBorder="1" applyAlignment="1"/>
    <xf numFmtId="0" fontId="80" fillId="0" borderId="0" xfId="1" applyFont="1"/>
    <xf numFmtId="49" fontId="96" fillId="0" borderId="14" xfId="1" applyNumberFormat="1" applyFont="1" applyFill="1" applyBorder="1" applyAlignment="1">
      <alignment horizontal="center" vertical="center" wrapText="1"/>
    </xf>
    <xf numFmtId="165" fontId="33" fillId="0" borderId="0" xfId="1" applyNumberFormat="1" applyFont="1" applyFill="1" applyBorder="1" applyAlignment="1">
      <alignment horizontal="center" vertical="center" wrapText="1"/>
    </xf>
    <xf numFmtId="0" fontId="33" fillId="0" borderId="0" xfId="1" applyFont="1" applyFill="1"/>
    <xf numFmtId="0" fontId="43" fillId="0" borderId="14" xfId="1" applyNumberFormat="1" applyFont="1" applyFill="1" applyBorder="1" applyAlignment="1">
      <alignment horizontal="center" vertical="center" wrapText="1"/>
    </xf>
    <xf numFmtId="49" fontId="16" fillId="0" borderId="14" xfId="1" applyNumberFormat="1" applyFont="1" applyFill="1" applyBorder="1" applyAlignment="1">
      <alignment horizontal="center" vertical="center" wrapText="1"/>
    </xf>
    <xf numFmtId="165" fontId="60" fillId="0" borderId="12" xfId="1" applyNumberFormat="1" applyFont="1" applyFill="1" applyBorder="1" applyAlignment="1">
      <alignment horizontal="center" vertical="center" wrapText="1"/>
    </xf>
    <xf numFmtId="165" fontId="28" fillId="5" borderId="12" xfId="1" applyNumberFormat="1" applyFont="1" applyFill="1" applyBorder="1" applyAlignment="1">
      <alignment horizontal="center" vertical="center" wrapText="1"/>
    </xf>
    <xf numFmtId="0" fontId="97" fillId="0" borderId="0" xfId="1" applyFont="1" applyFill="1"/>
    <xf numFmtId="0" fontId="97" fillId="0" borderId="0" xfId="1" applyFont="1"/>
    <xf numFmtId="167" fontId="48" fillId="0" borderId="0" xfId="1" applyNumberFormat="1" applyFont="1" applyFill="1" applyBorder="1" applyAlignment="1">
      <alignment horizontal="center"/>
    </xf>
    <xf numFmtId="49" fontId="98" fillId="0" borderId="14" xfId="1" applyNumberFormat="1" applyFont="1" applyFill="1" applyBorder="1" applyAlignment="1">
      <alignment horizontal="center" vertical="center"/>
    </xf>
    <xf numFmtId="167" fontId="21" fillId="0" borderId="12" xfId="1" applyNumberFormat="1" applyFont="1" applyFill="1" applyBorder="1" applyAlignment="1">
      <alignment vertical="center" wrapText="1"/>
    </xf>
    <xf numFmtId="49" fontId="98" fillId="0" borderId="12" xfId="1" applyNumberFormat="1" applyFont="1" applyFill="1" applyBorder="1" applyAlignment="1">
      <alignment horizontal="center" vertical="center" wrapText="1"/>
    </xf>
    <xf numFmtId="164" fontId="21" fillId="0" borderId="12" xfId="1" applyNumberFormat="1" applyFont="1" applyFill="1" applyBorder="1" applyAlignment="1">
      <alignment horizontal="center" vertical="center" wrapText="1"/>
    </xf>
    <xf numFmtId="166" fontId="21" fillId="0" borderId="12" xfId="1" quotePrefix="1" applyNumberFormat="1" applyFont="1" applyFill="1" applyBorder="1" applyAlignment="1">
      <alignment horizontal="center" vertical="center" wrapText="1"/>
    </xf>
    <xf numFmtId="165" fontId="21" fillId="0" borderId="0" xfId="1" applyNumberFormat="1" applyFont="1" applyFill="1" applyBorder="1" applyAlignment="1">
      <alignment horizontal="center" vertical="center" wrapText="1"/>
    </xf>
    <xf numFmtId="167" fontId="7" fillId="0" borderId="12" xfId="1" applyNumberFormat="1" applyFont="1" applyFill="1" applyBorder="1" applyAlignment="1">
      <alignment vertical="center" wrapText="1"/>
    </xf>
    <xf numFmtId="166" fontId="14" fillId="0" borderId="12" xfId="1" quotePrefix="1" applyNumberFormat="1" applyFont="1" applyFill="1" applyBorder="1" applyAlignment="1">
      <alignment horizontal="center" vertical="center" wrapText="1"/>
    </xf>
    <xf numFmtId="9" fontId="14" fillId="0" borderId="12" xfId="1" quotePrefix="1" applyNumberFormat="1" applyFont="1" applyFill="1" applyBorder="1" applyAlignment="1">
      <alignment horizontal="center" vertical="center" wrapText="1"/>
    </xf>
    <xf numFmtId="170" fontId="7" fillId="0" borderId="12" xfId="1" applyNumberFormat="1" applyFont="1" applyFill="1" applyBorder="1" applyAlignment="1">
      <alignment horizontal="center" vertical="center" wrapText="1"/>
    </xf>
    <xf numFmtId="49" fontId="57" fillId="0" borderId="14" xfId="1" applyNumberFormat="1" applyFont="1" applyFill="1" applyBorder="1" applyAlignment="1">
      <alignment horizontal="center" vertical="center"/>
    </xf>
    <xf numFmtId="49" fontId="51" fillId="0" borderId="14" xfId="1" applyNumberFormat="1" applyFont="1" applyFill="1" applyBorder="1" applyAlignment="1">
      <alignment horizontal="center" vertical="center"/>
    </xf>
    <xf numFmtId="164" fontId="84" fillId="0" borderId="12" xfId="1" applyNumberFormat="1" applyFont="1" applyFill="1" applyBorder="1" applyAlignment="1">
      <alignment horizontal="center" vertical="center" wrapText="1"/>
    </xf>
    <xf numFmtId="165" fontId="16" fillId="0" borderId="17" xfId="1" applyNumberFormat="1" applyFont="1" applyFill="1" applyBorder="1" applyAlignment="1">
      <alignment horizontal="left" vertical="center" wrapText="1"/>
    </xf>
    <xf numFmtId="165" fontId="27" fillId="0" borderId="17" xfId="1" applyNumberFormat="1" applyFont="1" applyFill="1" applyBorder="1" applyAlignment="1">
      <alignment horizontal="left" vertical="center" wrapText="1"/>
    </xf>
    <xf numFmtId="49" fontId="78" fillId="0" borderId="12" xfId="1" applyNumberFormat="1" applyFont="1" applyFill="1" applyBorder="1" applyAlignment="1">
      <alignment horizontal="center" vertical="center" wrapText="1"/>
    </xf>
    <xf numFmtId="165" fontId="74" fillId="0" borderId="0" xfId="1" applyNumberFormat="1" applyFont="1" applyFill="1" applyBorder="1" applyAlignment="1">
      <alignment horizontal="center" vertical="center" wrapText="1"/>
    </xf>
    <xf numFmtId="167" fontId="82" fillId="0" borderId="12" xfId="1" applyNumberFormat="1" applyFont="1" applyFill="1" applyBorder="1" applyAlignment="1">
      <alignment vertical="center" wrapText="1"/>
    </xf>
    <xf numFmtId="165" fontId="99" fillId="0" borderId="12" xfId="1" applyNumberFormat="1" applyFont="1" applyFill="1" applyBorder="1" applyAlignment="1">
      <alignment horizontal="center" vertical="center" wrapText="1"/>
    </xf>
    <xf numFmtId="164" fontId="99" fillId="0" borderId="12" xfId="1" applyNumberFormat="1" applyFont="1" applyFill="1" applyBorder="1" applyAlignment="1">
      <alignment horizontal="center" vertical="center" wrapText="1"/>
    </xf>
    <xf numFmtId="167" fontId="14" fillId="0" borderId="12" xfId="1" applyNumberFormat="1" applyFont="1" applyFill="1" applyBorder="1" applyAlignment="1">
      <alignment vertical="center" wrapText="1"/>
    </xf>
    <xf numFmtId="0" fontId="14" fillId="0" borderId="16" xfId="2" applyFont="1" applyFill="1" applyBorder="1" applyAlignment="1">
      <alignment horizontal="center" vertical="center" wrapText="1"/>
    </xf>
    <xf numFmtId="49" fontId="98" fillId="0" borderId="20" xfId="1" applyNumberFormat="1" applyFont="1" applyFill="1" applyBorder="1" applyAlignment="1">
      <alignment horizontal="center" vertical="center"/>
    </xf>
    <xf numFmtId="167" fontId="21" fillId="0" borderId="21" xfId="1" applyNumberFormat="1" applyFont="1" applyFill="1" applyBorder="1" applyAlignment="1">
      <alignment vertical="center" wrapText="1"/>
    </xf>
    <xf numFmtId="49" fontId="98" fillId="0" borderId="21" xfId="1" applyNumberFormat="1" applyFont="1" applyFill="1" applyBorder="1" applyAlignment="1">
      <alignment horizontal="center" vertical="center" wrapText="1"/>
    </xf>
    <xf numFmtId="164" fontId="21" fillId="0" borderId="21" xfId="1" applyNumberFormat="1" applyFont="1" applyFill="1" applyBorder="1" applyAlignment="1">
      <alignment horizontal="center" vertical="center" wrapText="1"/>
    </xf>
    <xf numFmtId="165" fontId="21" fillId="0" borderId="21" xfId="1" applyNumberFormat="1" applyFont="1" applyFill="1" applyBorder="1" applyAlignment="1">
      <alignment horizontal="center" vertical="center" wrapText="1"/>
    </xf>
    <xf numFmtId="165" fontId="100" fillId="0" borderId="21" xfId="1" applyNumberFormat="1" applyFont="1" applyFill="1" applyBorder="1" applyAlignment="1">
      <alignment horizontal="center" vertical="center" wrapText="1"/>
    </xf>
    <xf numFmtId="165" fontId="100" fillId="0" borderId="21" xfId="1" quotePrefix="1" applyNumberFormat="1" applyFont="1" applyFill="1" applyBorder="1" applyAlignment="1">
      <alignment horizontal="left" vertical="center" wrapText="1"/>
    </xf>
    <xf numFmtId="166" fontId="100" fillId="0" borderId="21" xfId="1" quotePrefix="1" applyNumberFormat="1" applyFont="1" applyFill="1" applyBorder="1" applyAlignment="1">
      <alignment horizontal="center" vertical="center" wrapText="1"/>
    </xf>
    <xf numFmtId="165" fontId="21" fillId="0" borderId="21" xfId="1" quotePrefix="1" applyNumberFormat="1" applyFont="1" applyFill="1" applyBorder="1" applyAlignment="1">
      <alignment horizontal="center" vertical="center" wrapText="1"/>
    </xf>
    <xf numFmtId="9" fontId="100" fillId="0" borderId="21" xfId="1" quotePrefix="1" applyNumberFormat="1" applyFont="1" applyFill="1" applyBorder="1" applyAlignment="1">
      <alignment horizontal="center" vertical="center" wrapText="1"/>
    </xf>
    <xf numFmtId="165" fontId="100" fillId="0" borderId="21" xfId="1" quotePrefix="1" applyNumberFormat="1" applyFont="1" applyFill="1" applyBorder="1" applyAlignment="1">
      <alignment horizontal="center" vertical="center" wrapText="1"/>
    </xf>
    <xf numFmtId="165" fontId="52" fillId="0" borderId="22" xfId="1" applyNumberFormat="1" applyFont="1" applyFill="1" applyBorder="1" applyAlignment="1">
      <alignment horizontal="left" vertical="center" wrapText="1"/>
    </xf>
    <xf numFmtId="165" fontId="92" fillId="0" borderId="0" xfId="1" applyNumberFormat="1" applyFont="1" applyFill="1" applyBorder="1" applyAlignment="1">
      <alignment horizontal="center" vertical="center" wrapText="1"/>
    </xf>
    <xf numFmtId="0" fontId="101" fillId="0" borderId="0" xfId="1" applyFont="1" applyFill="1"/>
    <xf numFmtId="165" fontId="48" fillId="0" borderId="22" xfId="1" applyNumberFormat="1" applyFont="1" applyFill="1" applyBorder="1" applyAlignment="1">
      <alignment horizontal="left" vertical="center" wrapText="1"/>
    </xf>
    <xf numFmtId="49" fontId="81" fillId="0" borderId="10" xfId="1" applyNumberFormat="1" applyFont="1" applyFill="1" applyBorder="1" applyAlignment="1">
      <alignment horizontal="center" vertical="center"/>
    </xf>
    <xf numFmtId="167" fontId="52" fillId="0" borderId="11" xfId="1" applyNumberFormat="1" applyFont="1" applyFill="1" applyBorder="1" applyAlignment="1">
      <alignment vertical="center" wrapText="1"/>
    </xf>
    <xf numFmtId="49" fontId="81" fillId="0" borderId="11" xfId="1" applyNumberFormat="1" applyFont="1" applyFill="1" applyBorder="1" applyAlignment="1">
      <alignment horizontal="center" vertical="center" wrapText="1"/>
    </xf>
    <xf numFmtId="164" fontId="52" fillId="0" borderId="11" xfId="1" applyNumberFormat="1" applyFont="1" applyFill="1" applyBorder="1" applyAlignment="1">
      <alignment horizontal="center" vertical="center" wrapText="1"/>
    </xf>
    <xf numFmtId="164" fontId="102" fillId="0" borderId="11" xfId="1" applyNumberFormat="1" applyFont="1" applyFill="1" applyBorder="1" applyAlignment="1">
      <alignment horizontal="center" vertical="center" wrapText="1"/>
    </xf>
    <xf numFmtId="165" fontId="52" fillId="0" borderId="11" xfId="1" applyNumberFormat="1" applyFont="1" applyFill="1" applyBorder="1" applyAlignment="1">
      <alignment horizontal="center" vertical="center" wrapText="1"/>
    </xf>
    <xf numFmtId="165" fontId="102" fillId="0" borderId="11" xfId="1" applyNumberFormat="1" applyFont="1" applyFill="1" applyBorder="1" applyAlignment="1">
      <alignment horizontal="center" vertical="center" wrapText="1"/>
    </xf>
    <xf numFmtId="166" fontId="53" fillId="0" borderId="11" xfId="1" quotePrefix="1" applyNumberFormat="1" applyFont="1" applyFill="1" applyBorder="1" applyAlignment="1">
      <alignment horizontal="center" vertical="center" wrapText="1"/>
    </xf>
    <xf numFmtId="9" fontId="53" fillId="0" borderId="11" xfId="1" quotePrefix="1" applyNumberFormat="1" applyFont="1" applyFill="1" applyBorder="1" applyAlignment="1">
      <alignment horizontal="center" vertical="center" wrapText="1"/>
    </xf>
    <xf numFmtId="165" fontId="53" fillId="0" borderId="11" xfId="1" quotePrefix="1" applyNumberFormat="1" applyFont="1" applyFill="1" applyBorder="1" applyAlignment="1">
      <alignment horizontal="center" vertical="center" wrapText="1"/>
    </xf>
    <xf numFmtId="165" fontId="52" fillId="0" borderId="9" xfId="1" applyNumberFormat="1" applyFont="1" applyFill="1" applyBorder="1" applyAlignment="1">
      <alignment horizontal="center" vertical="center" wrapText="1"/>
    </xf>
    <xf numFmtId="165" fontId="53" fillId="0" borderId="13" xfId="1" quotePrefix="1" applyNumberFormat="1" applyFont="1" applyFill="1" applyBorder="1" applyAlignment="1">
      <alignment horizontal="center" vertical="center" wrapText="1"/>
    </xf>
    <xf numFmtId="49" fontId="81" fillId="0" borderId="23" xfId="1" applyNumberFormat="1" applyFont="1" applyFill="1" applyBorder="1" applyAlignment="1">
      <alignment horizontal="center" vertical="center"/>
    </xf>
    <xf numFmtId="49" fontId="81" fillId="0" borderId="24" xfId="1" applyNumberFormat="1" applyFont="1" applyFill="1" applyBorder="1" applyAlignment="1">
      <alignment horizontal="center" vertical="center" wrapText="1"/>
    </xf>
    <xf numFmtId="164" fontId="52" fillId="0" borderId="24" xfId="1" applyNumberFormat="1" applyFont="1" applyFill="1" applyBorder="1" applyAlignment="1">
      <alignment horizontal="center" vertical="center" wrapText="1"/>
    </xf>
    <xf numFmtId="164" fontId="102" fillId="0" borderId="24" xfId="1" applyNumberFormat="1" applyFont="1" applyFill="1" applyBorder="1" applyAlignment="1">
      <alignment horizontal="center" vertical="center" wrapText="1"/>
    </xf>
    <xf numFmtId="165" fontId="52" fillId="0" borderId="24" xfId="1" applyNumberFormat="1" applyFont="1" applyFill="1" applyBorder="1" applyAlignment="1">
      <alignment horizontal="center" vertical="center" wrapText="1"/>
    </xf>
    <xf numFmtId="165" fontId="102" fillId="0" borderId="24" xfId="1" applyNumberFormat="1" applyFont="1" applyFill="1" applyBorder="1" applyAlignment="1">
      <alignment horizontal="center" vertical="center" wrapText="1"/>
    </xf>
    <xf numFmtId="166" fontId="53" fillId="0" borderId="24" xfId="1" quotePrefix="1" applyNumberFormat="1" applyFont="1" applyFill="1" applyBorder="1" applyAlignment="1">
      <alignment horizontal="center" vertical="center" wrapText="1"/>
    </xf>
    <xf numFmtId="9" fontId="53" fillId="0" borderId="24" xfId="1" quotePrefix="1" applyNumberFormat="1" applyFont="1" applyFill="1" applyBorder="1" applyAlignment="1">
      <alignment horizontal="center" vertical="center" wrapText="1"/>
    </xf>
    <xf numFmtId="165" fontId="53" fillId="0" borderId="24" xfId="1" quotePrefix="1" applyNumberFormat="1" applyFont="1" applyFill="1" applyBorder="1" applyAlignment="1">
      <alignment horizontal="center" vertical="center" wrapText="1"/>
    </xf>
    <xf numFmtId="165" fontId="52" fillId="0" borderId="1" xfId="1" applyNumberFormat="1" applyFont="1" applyFill="1" applyBorder="1" applyAlignment="1">
      <alignment horizontal="center" vertical="center" wrapText="1"/>
    </xf>
    <xf numFmtId="165" fontId="53" fillId="0" borderId="17" xfId="1" quotePrefix="1" applyNumberFormat="1" applyFont="1" applyFill="1" applyBorder="1" applyAlignment="1">
      <alignment horizontal="center" vertical="center" wrapText="1"/>
    </xf>
    <xf numFmtId="165" fontId="52" fillId="0" borderId="12" xfId="1" applyNumberFormat="1" applyFont="1" applyFill="1" applyBorder="1" applyAlignment="1">
      <alignment horizontal="center" vertical="center" wrapText="1"/>
    </xf>
    <xf numFmtId="49" fontId="98" fillId="0" borderId="25" xfId="1" applyNumberFormat="1" applyFont="1" applyFill="1" applyBorder="1" applyAlignment="1">
      <alignment horizontal="center" vertical="center"/>
    </xf>
    <xf numFmtId="164" fontId="52" fillId="0" borderId="28" xfId="1" applyNumberFormat="1" applyFont="1" applyFill="1" applyBorder="1" applyAlignment="1">
      <alignment horizontal="center" vertical="center" wrapText="1"/>
    </xf>
    <xf numFmtId="164" fontId="102" fillId="0" borderId="28" xfId="1" applyNumberFormat="1" applyFont="1" applyFill="1" applyBorder="1" applyAlignment="1">
      <alignment horizontal="center" vertical="center" wrapText="1"/>
    </xf>
    <xf numFmtId="165" fontId="52" fillId="0" borderId="28" xfId="1" applyNumberFormat="1" applyFont="1" applyFill="1" applyBorder="1" applyAlignment="1">
      <alignment horizontal="center" vertical="center" wrapText="1"/>
    </xf>
    <xf numFmtId="165" fontId="102" fillId="0" borderId="28" xfId="1" applyNumberFormat="1" applyFont="1" applyFill="1" applyBorder="1" applyAlignment="1">
      <alignment horizontal="center" vertical="center" wrapText="1"/>
    </xf>
    <xf numFmtId="166" fontId="53" fillId="0" borderId="28" xfId="1" quotePrefix="1" applyNumberFormat="1" applyFont="1" applyFill="1" applyBorder="1" applyAlignment="1">
      <alignment horizontal="center" vertical="center" wrapText="1"/>
    </xf>
    <xf numFmtId="9" fontId="53" fillId="0" borderId="28" xfId="1" quotePrefix="1" applyNumberFormat="1" applyFont="1" applyFill="1" applyBorder="1" applyAlignment="1">
      <alignment horizontal="center" vertical="center" wrapText="1"/>
    </xf>
    <xf numFmtId="165" fontId="53" fillId="0" borderId="28" xfId="1" quotePrefix="1" applyNumberFormat="1" applyFont="1" applyFill="1" applyBorder="1" applyAlignment="1">
      <alignment horizontal="center" vertical="center" wrapText="1"/>
    </xf>
    <xf numFmtId="165" fontId="52" fillId="0" borderId="26" xfId="1" applyNumberFormat="1" applyFont="1" applyFill="1" applyBorder="1" applyAlignment="1">
      <alignment horizontal="center" vertical="center" wrapText="1"/>
    </xf>
    <xf numFmtId="165" fontId="53" fillId="0" borderId="29" xfId="1" quotePrefix="1" applyNumberFormat="1" applyFont="1" applyFill="1" applyBorder="1" applyAlignment="1">
      <alignment horizontal="center" vertical="center" wrapText="1"/>
    </xf>
    <xf numFmtId="165" fontId="21" fillId="0" borderId="28" xfId="1" applyNumberFormat="1" applyFont="1" applyFill="1" applyBorder="1" applyAlignment="1">
      <alignment horizontal="center" vertical="center" wrapText="1"/>
    </xf>
    <xf numFmtId="165" fontId="52" fillId="0" borderId="29" xfId="1" applyNumberFormat="1" applyFont="1" applyFill="1" applyBorder="1" applyAlignment="1">
      <alignment horizontal="center" vertical="center" wrapText="1"/>
    </xf>
    <xf numFmtId="165" fontId="52" fillId="0" borderId="30" xfId="1" applyNumberFormat="1" applyFont="1" applyFill="1" applyBorder="1" applyAlignment="1">
      <alignment horizontal="center" vertical="center" wrapText="1"/>
    </xf>
    <xf numFmtId="165" fontId="52" fillId="0" borderId="21" xfId="1" applyNumberFormat="1" applyFont="1" applyFill="1" applyBorder="1" applyAlignment="1">
      <alignment horizontal="center" vertical="center" wrapText="1"/>
    </xf>
    <xf numFmtId="49" fontId="65" fillId="0" borderId="11" xfId="1" applyNumberFormat="1" applyFont="1" applyFill="1" applyBorder="1" applyAlignment="1">
      <alignment horizontal="center" vertical="center" wrapText="1"/>
    </xf>
    <xf numFmtId="164" fontId="17" fillId="0" borderId="11" xfId="1" applyNumberFormat="1" applyFont="1" applyFill="1" applyBorder="1" applyAlignment="1">
      <alignment horizontal="center" vertical="center" wrapText="1"/>
    </xf>
    <xf numFmtId="165" fontId="17" fillId="0" borderId="11" xfId="1" applyNumberFormat="1" applyFont="1" applyFill="1" applyBorder="1" applyAlignment="1">
      <alignment horizontal="center" vertical="center" wrapText="1"/>
    </xf>
    <xf numFmtId="165" fontId="17" fillId="0" borderId="9" xfId="1" applyNumberFormat="1" applyFont="1" applyFill="1" applyBorder="1" applyAlignment="1">
      <alignment horizontal="center" vertical="center" wrapText="1"/>
    </xf>
    <xf numFmtId="165" fontId="17" fillId="0" borderId="13" xfId="1" applyNumberFormat="1" applyFont="1" applyFill="1" applyBorder="1" applyAlignment="1">
      <alignment horizontal="center" vertical="center" wrapText="1"/>
    </xf>
    <xf numFmtId="165" fontId="17" fillId="0" borderId="12" xfId="1" applyNumberFormat="1" applyFont="1" applyFill="1" applyBorder="1" applyAlignment="1">
      <alignment horizontal="center" vertical="center" wrapText="1"/>
    </xf>
    <xf numFmtId="166" fontId="65" fillId="0" borderId="14" xfId="3" applyNumberFormat="1" applyFont="1" applyFill="1" applyBorder="1" applyAlignment="1">
      <alignment horizontal="center"/>
    </xf>
    <xf numFmtId="166" fontId="34" fillId="0" borderId="12" xfId="3" applyNumberFormat="1" applyFont="1" applyFill="1" applyBorder="1" applyAlignment="1">
      <alignment horizontal="left"/>
    </xf>
    <xf numFmtId="49" fontId="34" fillId="0" borderId="12" xfId="3" applyNumberFormat="1" applyFont="1" applyFill="1" applyBorder="1" applyAlignment="1">
      <alignment horizontal="center"/>
    </xf>
    <xf numFmtId="164" fontId="34" fillId="0" borderId="12" xfId="3" applyNumberFormat="1" applyFont="1" applyFill="1" applyBorder="1" applyAlignment="1">
      <alignment horizontal="center"/>
    </xf>
    <xf numFmtId="165" fontId="34" fillId="0" borderId="12" xfId="3" applyNumberFormat="1" applyFont="1" applyFill="1" applyBorder="1" applyAlignment="1">
      <alignment horizontal="center"/>
    </xf>
    <xf numFmtId="166" fontId="53" fillId="0" borderId="12" xfId="1" quotePrefix="1" applyNumberFormat="1" applyFont="1" applyFill="1" applyBorder="1" applyAlignment="1">
      <alignment horizontal="center" vertical="center" wrapText="1"/>
    </xf>
    <xf numFmtId="9" fontId="53" fillId="0" borderId="12" xfId="1" quotePrefix="1" applyNumberFormat="1" applyFont="1" applyFill="1" applyBorder="1" applyAlignment="1">
      <alignment horizontal="center" vertical="center" wrapText="1"/>
    </xf>
    <xf numFmtId="165" fontId="53" fillId="0" borderId="12" xfId="1" quotePrefix="1" applyNumberFormat="1" applyFont="1" applyFill="1" applyBorder="1" applyAlignment="1">
      <alignment horizontal="center" vertical="center" wrapText="1"/>
    </xf>
    <xf numFmtId="165" fontId="34" fillId="0" borderId="16" xfId="3" applyNumberFormat="1" applyFont="1" applyFill="1" applyBorder="1" applyAlignment="1">
      <alignment horizontal="center"/>
    </xf>
    <xf numFmtId="165" fontId="53" fillId="0" borderId="15" xfId="1" quotePrefix="1" applyNumberFormat="1" applyFont="1" applyFill="1" applyBorder="1" applyAlignment="1">
      <alignment horizontal="center" vertical="center" wrapText="1"/>
    </xf>
    <xf numFmtId="165" fontId="17" fillId="0" borderId="12" xfId="3" applyNumberFormat="1" applyFont="1" applyFill="1" applyBorder="1" applyAlignment="1">
      <alignment horizontal="center"/>
    </xf>
    <xf numFmtId="165" fontId="34" fillId="0" borderId="0" xfId="3" applyNumberFormat="1" applyFont="1" applyFill="1" applyBorder="1" applyAlignment="1">
      <alignment horizontal="center"/>
    </xf>
    <xf numFmtId="49" fontId="65" fillId="0" borderId="12" xfId="1" applyNumberFormat="1" applyFont="1" applyFill="1" applyBorder="1" applyAlignment="1">
      <alignment horizontal="center" vertical="center" wrapText="1"/>
    </xf>
    <xf numFmtId="164" fontId="17" fillId="0" borderId="12" xfId="1" applyNumberFormat="1" applyFont="1" applyFill="1" applyBorder="1" applyAlignment="1">
      <alignment horizontal="center" vertical="center" wrapText="1"/>
    </xf>
    <xf numFmtId="165" fontId="17" fillId="0" borderId="16" xfId="1" applyNumberFormat="1" applyFont="1" applyFill="1" applyBorder="1" applyAlignment="1">
      <alignment horizontal="center" vertical="center" wrapText="1"/>
    </xf>
    <xf numFmtId="49" fontId="65" fillId="0" borderId="21" xfId="1" applyNumberFormat="1" applyFont="1" applyFill="1" applyBorder="1" applyAlignment="1">
      <alignment horizontal="center" vertical="center" wrapText="1"/>
    </xf>
    <xf numFmtId="164" fontId="17" fillId="0" borderId="21" xfId="1" applyNumberFormat="1" applyFont="1" applyFill="1" applyBorder="1" applyAlignment="1">
      <alignment horizontal="center" vertical="center" wrapText="1"/>
    </xf>
    <xf numFmtId="165" fontId="17" fillId="0" borderId="21" xfId="1" applyNumberFormat="1" applyFont="1" applyFill="1" applyBorder="1" applyAlignment="1">
      <alignment horizontal="center" vertical="center" wrapText="1"/>
    </xf>
    <xf numFmtId="166" fontId="53" fillId="0" borderId="21" xfId="1" quotePrefix="1" applyNumberFormat="1" applyFont="1" applyFill="1" applyBorder="1" applyAlignment="1">
      <alignment horizontal="center" vertical="center" wrapText="1"/>
    </xf>
    <xf numFmtId="9" fontId="53" fillId="0" borderId="21" xfId="1" quotePrefix="1" applyNumberFormat="1" applyFont="1" applyFill="1" applyBorder="1" applyAlignment="1">
      <alignment horizontal="center" vertical="center" wrapText="1"/>
    </xf>
    <xf numFmtId="165" fontId="17" fillId="0" borderId="22" xfId="1" applyNumberFormat="1" applyFont="1" applyFill="1" applyBorder="1" applyAlignment="1">
      <alignment horizontal="center" vertical="center" wrapText="1"/>
    </xf>
    <xf numFmtId="49" fontId="3" fillId="0" borderId="0" xfId="1" applyNumberFormat="1" applyFont="1" applyFill="1" applyAlignment="1">
      <alignment horizontal="center"/>
    </xf>
    <xf numFmtId="0" fontId="5" fillId="0" borderId="0" xfId="1" applyFont="1" applyFill="1"/>
    <xf numFmtId="49" fontId="5" fillId="0" borderId="0" xfId="1" applyNumberFormat="1" applyFont="1" applyFill="1"/>
    <xf numFmtId="0" fontId="103" fillId="0" borderId="0" xfId="1" applyFont="1" applyFill="1"/>
    <xf numFmtId="49" fontId="54" fillId="0" borderId="0" xfId="1" applyNumberFormat="1" applyFont="1" applyFill="1"/>
    <xf numFmtId="164" fontId="54" fillId="0" borderId="0" xfId="1" applyNumberFormat="1" applyFont="1" applyFill="1"/>
    <xf numFmtId="164" fontId="36" fillId="0" borderId="0" xfId="1" applyNumberFormat="1" applyFont="1" applyFill="1"/>
    <xf numFmtId="164" fontId="55" fillId="0" borderId="0" xfId="1" applyNumberFormat="1" applyFont="1" applyFill="1" applyAlignment="1">
      <alignment horizontal="left" vertical="center" wrapText="1"/>
    </xf>
    <xf numFmtId="164" fontId="38" fillId="0" borderId="0" xfId="1" applyNumberFormat="1" applyFont="1" applyFill="1" applyAlignment="1">
      <alignment horizontal="left" vertical="center" wrapText="1"/>
    </xf>
    <xf numFmtId="0" fontId="12" fillId="0" borderId="0" xfId="1" applyFont="1" applyFill="1"/>
    <xf numFmtId="164" fontId="94" fillId="0" borderId="0" xfId="1" applyNumberFormat="1" applyFont="1" applyFill="1" applyBorder="1"/>
    <xf numFmtId="164" fontId="94" fillId="0" borderId="0" xfId="1" applyNumberFormat="1" applyFont="1" applyFill="1"/>
    <xf numFmtId="0" fontId="88" fillId="0" borderId="0" xfId="1" applyFont="1" applyFill="1" applyBorder="1"/>
    <xf numFmtId="0" fontId="6" fillId="0" borderId="0" xfId="1" applyFont="1" applyFill="1" applyBorder="1"/>
    <xf numFmtId="164" fontId="6" fillId="0" borderId="0" xfId="1" applyNumberFormat="1" applyFont="1" applyFill="1" applyBorder="1"/>
    <xf numFmtId="164" fontId="2" fillId="0" borderId="0" xfId="1" applyNumberFormat="1" applyFill="1" applyBorder="1"/>
    <xf numFmtId="164" fontId="6" fillId="0" borderId="0" xfId="1" applyNumberFormat="1" applyFont="1" applyFill="1"/>
    <xf numFmtId="164" fontId="2" fillId="0" borderId="0" xfId="1" applyNumberFormat="1" applyFill="1"/>
    <xf numFmtId="0" fontId="6" fillId="0" borderId="0" xfId="1" applyFont="1" applyFill="1"/>
    <xf numFmtId="167" fontId="48" fillId="0" borderId="0" xfId="1" applyNumberFormat="1" applyFont="1" applyFill="1" applyBorder="1" applyAlignment="1">
      <alignment vertical="center" wrapText="1"/>
    </xf>
    <xf numFmtId="49" fontId="88" fillId="0" borderId="0" xfId="1" applyNumberFormat="1" applyFont="1" applyFill="1" applyAlignment="1">
      <alignment horizontal="center"/>
    </xf>
    <xf numFmtId="0" fontId="94" fillId="0" borderId="0" xfId="1" applyFont="1" applyFill="1" applyBorder="1"/>
    <xf numFmtId="49" fontId="94" fillId="0" borderId="0" xfId="1" applyNumberFormat="1" applyFont="1" applyFill="1"/>
    <xf numFmtId="49" fontId="3" fillId="0" borderId="0" xfId="1" applyNumberFormat="1" applyFont="1" applyFill="1"/>
    <xf numFmtId="0" fontId="55" fillId="0" borderId="0" xfId="1" applyFont="1" applyFill="1" applyAlignment="1">
      <alignment vertical="center" wrapText="1"/>
    </xf>
    <xf numFmtId="164" fontId="55" fillId="0" borderId="0" xfId="1" applyNumberFormat="1" applyFont="1" applyFill="1" applyAlignment="1">
      <alignment vertical="center" wrapText="1"/>
    </xf>
    <xf numFmtId="164" fontId="38" fillId="0" borderId="0" xfId="1" applyNumberFormat="1" applyFont="1" applyFill="1" applyAlignment="1">
      <alignment vertical="center" wrapText="1"/>
    </xf>
    <xf numFmtId="0" fontId="38" fillId="0" borderId="0" xfId="1" applyFont="1" applyFill="1" applyAlignment="1">
      <alignment vertical="center" wrapText="1"/>
    </xf>
    <xf numFmtId="0" fontId="104" fillId="0" borderId="0" xfId="1" applyFont="1" applyFill="1" applyAlignment="1">
      <alignment horizontal="justify" vertical="center"/>
    </xf>
    <xf numFmtId="0" fontId="105" fillId="0" borderId="0" xfId="1" applyFont="1" applyFill="1" applyAlignment="1">
      <alignment vertical="center"/>
    </xf>
    <xf numFmtId="0" fontId="104" fillId="0" borderId="0" xfId="1" applyFont="1" applyFill="1" applyAlignment="1">
      <alignment vertical="center"/>
    </xf>
    <xf numFmtId="0" fontId="2" fillId="0" borderId="0" xfId="1" applyFill="1" applyAlignment="1">
      <alignment vertical="center" wrapText="1"/>
    </xf>
    <xf numFmtId="164" fontId="2" fillId="0" borderId="0" xfId="1" applyNumberFormat="1" applyFill="1" applyAlignment="1">
      <alignment vertical="center" wrapText="1"/>
    </xf>
    <xf numFmtId="164" fontId="5" fillId="0" borderId="0" xfId="1" applyNumberFormat="1" applyFont="1" applyFill="1" applyAlignment="1">
      <alignment vertical="center" wrapText="1"/>
    </xf>
    <xf numFmtId="164" fontId="90" fillId="0" borderId="0" xfId="1" applyNumberFormat="1" applyFont="1" applyFill="1" applyAlignment="1">
      <alignment horizontal="center" vertical="center" wrapText="1"/>
    </xf>
    <xf numFmtId="164" fontId="3" fillId="0" borderId="0" xfId="1" applyNumberFormat="1" applyFont="1" applyFill="1" applyAlignment="1">
      <alignment vertical="center" wrapText="1"/>
    </xf>
    <xf numFmtId="0" fontId="5" fillId="0" borderId="0" xfId="1" applyFont="1"/>
    <xf numFmtId="167" fontId="17" fillId="0" borderId="12" xfId="1" applyNumberFormat="1" applyFont="1" applyFill="1" applyBorder="1" applyAlignment="1">
      <alignment horizontal="center" vertical="center" wrapText="1"/>
    </xf>
    <xf numFmtId="165" fontId="48" fillId="0" borderId="12" xfId="1" applyNumberFormat="1" applyFont="1" applyFill="1" applyBorder="1" applyAlignment="1">
      <alignment horizontal="left" vertical="center" wrapText="1"/>
    </xf>
    <xf numFmtId="165" fontId="7" fillId="0" borderId="12" xfId="1" applyNumberFormat="1" applyFont="1" applyFill="1" applyBorder="1" applyAlignment="1">
      <alignment horizontal="center" vertical="center" wrapText="1"/>
    </xf>
    <xf numFmtId="165" fontId="31" fillId="0" borderId="12" xfId="1" quotePrefix="1" applyNumberFormat="1" applyFont="1" applyFill="1" applyBorder="1" applyAlignment="1">
      <alignment horizontal="left" vertical="center" wrapText="1"/>
    </xf>
    <xf numFmtId="165" fontId="48" fillId="0" borderId="12" xfId="1" quotePrefix="1" applyNumberFormat="1" applyFont="1" applyFill="1" applyBorder="1" applyAlignment="1">
      <alignment horizontal="left" vertical="center" wrapText="1"/>
    </xf>
    <xf numFmtId="165" fontId="52" fillId="0" borderId="31" xfId="1" applyNumberFormat="1" applyFont="1" applyFill="1" applyBorder="1" applyAlignment="1">
      <alignment horizontal="center" vertical="center" wrapText="1"/>
    </xf>
    <xf numFmtId="166" fontId="7" fillId="0" borderId="12" xfId="29" applyNumberFormat="1" applyFont="1" applyFill="1" applyBorder="1" applyAlignment="1">
      <alignment horizontal="center" vertical="center"/>
    </xf>
    <xf numFmtId="166" fontId="23" fillId="0" borderId="12" xfId="29" applyNumberFormat="1" applyFont="1" applyFill="1" applyBorder="1" applyAlignment="1">
      <alignment horizontal="center" vertical="center"/>
    </xf>
    <xf numFmtId="166" fontId="27" fillId="0" borderId="12" xfId="29" applyNumberFormat="1" applyFont="1" applyFill="1" applyBorder="1" applyAlignment="1">
      <alignment horizontal="center" vertical="center"/>
    </xf>
    <xf numFmtId="166" fontId="30" fillId="0" borderId="12" xfId="29" applyNumberFormat="1" applyFont="1" applyFill="1" applyBorder="1" applyAlignment="1">
      <alignment horizontal="center" vertical="center"/>
    </xf>
    <xf numFmtId="164" fontId="9" fillId="8" borderId="21" xfId="20" applyNumberFormat="1" applyFont="1" applyFill="1" applyBorder="1" applyAlignment="1">
      <alignment horizontal="center" vertical="center" wrapText="1"/>
    </xf>
    <xf numFmtId="164" fontId="9" fillId="8" borderId="6" xfId="20" applyNumberFormat="1" applyFont="1" applyFill="1" applyBorder="1" applyAlignment="1">
      <alignment horizontal="center" vertical="center" wrapText="1"/>
    </xf>
    <xf numFmtId="164" fontId="9" fillId="8" borderId="24" xfId="20" applyNumberFormat="1" applyFont="1" applyFill="1" applyBorder="1" applyAlignment="1">
      <alignment horizontal="center" vertical="center" wrapText="1"/>
    </xf>
    <xf numFmtId="49" fontId="12" fillId="0" borderId="10" xfId="1" applyNumberFormat="1" applyFont="1" applyBorder="1" applyAlignment="1">
      <alignment horizontal="center" vertical="center"/>
    </xf>
    <xf numFmtId="49" fontId="12" fillId="0" borderId="11" xfId="1" applyNumberFormat="1" applyFont="1" applyBorder="1" applyAlignment="1">
      <alignment horizontal="center" vertical="center"/>
    </xf>
    <xf numFmtId="164" fontId="12" fillId="0" borderId="11" xfId="1" applyNumberFormat="1" applyFont="1" applyBorder="1" applyAlignment="1">
      <alignment horizontal="center" vertical="center"/>
    </xf>
    <xf numFmtId="49" fontId="12" fillId="0" borderId="11" xfId="1" applyNumberFormat="1" applyFont="1" applyFill="1" applyBorder="1" applyAlignment="1">
      <alignment horizontal="center" vertical="center"/>
    </xf>
    <xf numFmtId="49" fontId="10" fillId="0" borderId="21" xfId="1" applyNumberFormat="1" applyFont="1" applyFill="1" applyBorder="1" applyAlignment="1">
      <alignment horizontal="center" vertical="center" wrapText="1"/>
    </xf>
    <xf numFmtId="164" fontId="9" fillId="0" borderId="21" xfId="1" applyNumberFormat="1" applyFont="1" applyFill="1" applyBorder="1" applyAlignment="1">
      <alignment horizontal="center" vertical="center" wrapText="1"/>
    </xf>
    <xf numFmtId="9" fontId="7" fillId="0" borderId="12" xfId="29" applyFont="1" applyFill="1" applyBorder="1" applyAlignment="1">
      <alignment horizontal="center" vertical="center"/>
    </xf>
    <xf numFmtId="9" fontId="14" fillId="0" borderId="12" xfId="29" applyFont="1" applyFill="1" applyBorder="1" applyAlignment="1">
      <alignment horizontal="center" vertical="center" wrapText="1"/>
    </xf>
    <xf numFmtId="49" fontId="81" fillId="0" borderId="35" xfId="1" applyNumberFormat="1" applyFont="1" applyFill="1" applyBorder="1" applyAlignment="1">
      <alignment horizontal="center" vertical="center"/>
    </xf>
    <xf numFmtId="49" fontId="81" fillId="0" borderId="32" xfId="1" applyNumberFormat="1" applyFont="1" applyFill="1" applyBorder="1" applyAlignment="1">
      <alignment horizontal="center" vertical="center" wrapText="1"/>
    </xf>
    <xf numFmtId="164" fontId="52" fillId="0" borderId="32" xfId="1" applyNumberFormat="1" applyFont="1" applyFill="1" applyBorder="1" applyAlignment="1">
      <alignment horizontal="center" vertical="center" wrapText="1"/>
    </xf>
    <xf numFmtId="164" fontId="102" fillId="0" borderId="32" xfId="1" applyNumberFormat="1" applyFont="1" applyFill="1" applyBorder="1" applyAlignment="1">
      <alignment horizontal="center" vertical="center" wrapText="1"/>
    </xf>
    <xf numFmtId="165" fontId="52" fillId="0" borderId="32" xfId="1" applyNumberFormat="1" applyFont="1" applyFill="1" applyBorder="1" applyAlignment="1">
      <alignment horizontal="center" vertical="center" wrapText="1"/>
    </xf>
    <xf numFmtId="165" fontId="102" fillId="0" borderId="32" xfId="1" applyNumberFormat="1" applyFont="1" applyFill="1" applyBorder="1" applyAlignment="1">
      <alignment horizontal="center" vertical="center" wrapText="1"/>
    </xf>
    <xf numFmtId="166" fontId="53" fillId="0" borderId="32" xfId="1" quotePrefix="1" applyNumberFormat="1" applyFont="1" applyFill="1" applyBorder="1" applyAlignment="1">
      <alignment horizontal="center" vertical="center" wrapText="1"/>
    </xf>
    <xf numFmtId="9" fontId="53" fillId="0" borderId="32" xfId="1" quotePrefix="1" applyNumberFormat="1" applyFont="1" applyFill="1" applyBorder="1" applyAlignment="1">
      <alignment horizontal="center" vertical="center" wrapText="1"/>
    </xf>
    <xf numFmtId="165" fontId="53" fillId="0" borderId="32" xfId="1" quotePrefix="1" applyNumberFormat="1" applyFont="1" applyFill="1" applyBorder="1" applyAlignment="1">
      <alignment horizontal="center" vertical="center" wrapText="1"/>
    </xf>
    <xf numFmtId="165" fontId="52" fillId="0" borderId="18" xfId="1" applyNumberFormat="1" applyFont="1" applyFill="1" applyBorder="1" applyAlignment="1">
      <alignment horizontal="center" vertical="center" wrapText="1"/>
    </xf>
    <xf numFmtId="165" fontId="53" fillId="0" borderId="19" xfId="1" quotePrefix="1" applyNumberFormat="1" applyFont="1" applyFill="1" applyBorder="1" applyAlignment="1">
      <alignment horizontal="center" vertical="center" wrapText="1"/>
    </xf>
    <xf numFmtId="9" fontId="21" fillId="0" borderId="21" xfId="29" applyFont="1" applyFill="1" applyBorder="1" applyAlignment="1">
      <alignment horizontal="center" vertical="center" wrapText="1"/>
    </xf>
    <xf numFmtId="9" fontId="52" fillId="0" borderId="11" xfId="29" applyFont="1" applyFill="1" applyBorder="1" applyAlignment="1">
      <alignment horizontal="center" vertical="center" wrapText="1"/>
    </xf>
    <xf numFmtId="9" fontId="27" fillId="0" borderId="12" xfId="29" applyFont="1" applyFill="1" applyBorder="1" applyAlignment="1">
      <alignment horizontal="center" vertical="center"/>
    </xf>
    <xf numFmtId="9" fontId="16" fillId="0" borderId="12" xfId="29" applyFont="1" applyFill="1" applyBorder="1" applyAlignment="1">
      <alignment horizontal="center" vertical="center"/>
    </xf>
    <xf numFmtId="9" fontId="33" fillId="0" borderId="12" xfId="29" applyFont="1" applyFill="1" applyBorder="1" applyAlignment="1">
      <alignment horizontal="center" vertical="center"/>
    </xf>
    <xf numFmtId="9" fontId="31" fillId="0" borderId="12" xfId="29" applyFont="1" applyFill="1" applyBorder="1" applyAlignment="1">
      <alignment horizontal="center" vertical="center" wrapText="1"/>
    </xf>
    <xf numFmtId="166" fontId="17" fillId="0" borderId="12" xfId="29" applyNumberFormat="1" applyFont="1" applyFill="1" applyBorder="1" applyAlignment="1">
      <alignment horizontal="center" vertical="center"/>
    </xf>
    <xf numFmtId="166" fontId="33" fillId="0" borderId="12" xfId="29" applyNumberFormat="1" applyFont="1" applyFill="1" applyBorder="1" applyAlignment="1">
      <alignment horizontal="center" vertical="center"/>
    </xf>
    <xf numFmtId="166" fontId="16" fillId="0" borderId="12" xfId="29" quotePrefix="1" applyNumberFormat="1" applyFont="1" applyFill="1" applyBorder="1" applyAlignment="1">
      <alignment horizontal="center" vertical="center" wrapText="1"/>
    </xf>
    <xf numFmtId="166" fontId="25" fillId="0" borderId="12" xfId="29" applyNumberFormat="1" applyFont="1" applyFill="1" applyBorder="1" applyAlignment="1">
      <alignment horizontal="center" vertical="center" wrapText="1"/>
    </xf>
    <xf numFmtId="165" fontId="48" fillId="0" borderId="12" xfId="1" quotePrefix="1" applyNumberFormat="1" applyFont="1" applyFill="1" applyBorder="1" applyAlignment="1">
      <alignment horizontal="left" vertical="center" wrapText="1"/>
    </xf>
    <xf numFmtId="165" fontId="16" fillId="0" borderId="12" xfId="1" applyNumberFormat="1" applyFont="1" applyFill="1" applyBorder="1" applyAlignment="1">
      <alignment horizontal="center" vertical="center"/>
    </xf>
    <xf numFmtId="49" fontId="109" fillId="0" borderId="0" xfId="1" applyNumberFormat="1" applyFont="1"/>
    <xf numFmtId="49" fontId="110" fillId="4" borderId="12" xfId="1" applyNumberFormat="1" applyFont="1" applyFill="1" applyBorder="1" applyAlignment="1">
      <alignment horizontal="center" vertical="center"/>
    </xf>
    <xf numFmtId="164" fontId="110" fillId="4" borderId="12" xfId="1" applyNumberFormat="1" applyFont="1" applyFill="1" applyBorder="1" applyAlignment="1">
      <alignment horizontal="center" vertical="center"/>
    </xf>
    <xf numFmtId="165" fontId="108" fillId="4" borderId="12" xfId="1" applyNumberFormat="1" applyFont="1" applyFill="1" applyBorder="1" applyAlignment="1">
      <alignment horizontal="center" vertical="center"/>
    </xf>
    <xf numFmtId="166" fontId="108" fillId="4" borderId="12" xfId="1" applyNumberFormat="1" applyFont="1" applyFill="1" applyBorder="1" applyAlignment="1">
      <alignment horizontal="center" vertical="center"/>
    </xf>
    <xf numFmtId="9" fontId="108" fillId="4" borderId="12" xfId="1" applyNumberFormat="1" applyFont="1" applyFill="1" applyBorder="1" applyAlignment="1">
      <alignment horizontal="center" vertical="center"/>
    </xf>
    <xf numFmtId="165" fontId="108" fillId="0" borderId="12" xfId="1" applyNumberFormat="1" applyFont="1" applyFill="1" applyBorder="1" applyAlignment="1">
      <alignment horizontal="center" vertical="center"/>
    </xf>
    <xf numFmtId="164" fontId="108" fillId="0" borderId="12" xfId="1" applyNumberFormat="1" applyFont="1" applyFill="1" applyBorder="1" applyAlignment="1">
      <alignment horizontal="center" vertical="center"/>
    </xf>
    <xf numFmtId="166" fontId="108" fillId="0" borderId="12" xfId="29" applyNumberFormat="1" applyFont="1" applyFill="1" applyBorder="1" applyAlignment="1">
      <alignment horizontal="center" vertical="center"/>
    </xf>
    <xf numFmtId="9" fontId="108" fillId="0" borderId="12" xfId="29" applyFont="1" applyFill="1" applyBorder="1" applyAlignment="1">
      <alignment horizontal="center" vertical="center"/>
    </xf>
    <xf numFmtId="165" fontId="108" fillId="0" borderId="15" xfId="1" applyNumberFormat="1" applyFont="1" applyFill="1" applyBorder="1" applyAlignment="1">
      <alignment horizontal="center" vertical="center"/>
    </xf>
    <xf numFmtId="165" fontId="111" fillId="0" borderId="0" xfId="1" applyNumberFormat="1" applyFont="1" applyFill="1" applyBorder="1" applyAlignment="1">
      <alignment horizontal="center" vertical="center"/>
    </xf>
    <xf numFmtId="49" fontId="109" fillId="0" borderId="0" xfId="1" applyNumberFormat="1" applyFont="1" applyFill="1"/>
    <xf numFmtId="0" fontId="112" fillId="0" borderId="0" xfId="1" applyFont="1" applyFill="1"/>
    <xf numFmtId="49" fontId="113" fillId="0" borderId="14" xfId="1" applyNumberFormat="1" applyFont="1" applyFill="1" applyBorder="1" applyAlignment="1">
      <alignment horizontal="center" vertical="center" wrapText="1"/>
    </xf>
    <xf numFmtId="164" fontId="114" fillId="0" borderId="12" xfId="1" applyNumberFormat="1" applyFont="1" applyFill="1" applyBorder="1" applyAlignment="1">
      <alignment horizontal="center" vertical="center" wrapText="1"/>
    </xf>
    <xf numFmtId="165" fontId="114" fillId="0" borderId="12" xfId="1" applyNumberFormat="1" applyFont="1" applyFill="1" applyBorder="1" applyAlignment="1">
      <alignment horizontal="center" vertical="center" wrapText="1"/>
    </xf>
    <xf numFmtId="165" fontId="114" fillId="0" borderId="12" xfId="1" quotePrefix="1" applyNumberFormat="1" applyFont="1" applyFill="1" applyBorder="1" applyAlignment="1">
      <alignment horizontal="center" vertical="center" wrapText="1"/>
    </xf>
    <xf numFmtId="165" fontId="114" fillId="0" borderId="12" xfId="1" quotePrefix="1" applyNumberFormat="1" applyFont="1" applyFill="1" applyBorder="1" applyAlignment="1">
      <alignment horizontal="left" vertical="center" wrapText="1"/>
    </xf>
    <xf numFmtId="166" fontId="108" fillId="0" borderId="12" xfId="1" quotePrefix="1" applyNumberFormat="1" applyFont="1" applyFill="1" applyBorder="1" applyAlignment="1">
      <alignment horizontal="center" vertical="center" wrapText="1"/>
    </xf>
    <xf numFmtId="9" fontId="108" fillId="0" borderId="12" xfId="1" quotePrefix="1" applyNumberFormat="1" applyFont="1" applyFill="1" applyBorder="1" applyAlignment="1">
      <alignment horizontal="center" vertical="center" wrapText="1"/>
    </xf>
    <xf numFmtId="165" fontId="108" fillId="0" borderId="12" xfId="1" quotePrefix="1" applyNumberFormat="1" applyFont="1" applyFill="1" applyBorder="1" applyAlignment="1">
      <alignment horizontal="center" vertical="center" wrapText="1"/>
    </xf>
    <xf numFmtId="165" fontId="116" fillId="0" borderId="15" xfId="1" applyNumberFormat="1" applyFont="1" applyFill="1" applyBorder="1" applyAlignment="1">
      <alignment horizontal="center" vertical="center" wrapText="1"/>
    </xf>
    <xf numFmtId="165" fontId="116" fillId="0" borderId="0" xfId="1" applyNumberFormat="1" applyFont="1" applyFill="1" applyBorder="1" applyAlignment="1">
      <alignment horizontal="center" vertical="center" wrapText="1"/>
    </xf>
    <xf numFmtId="166" fontId="114" fillId="0" borderId="12" xfId="29" applyNumberFormat="1" applyFont="1" applyFill="1" applyBorder="1" applyAlignment="1">
      <alignment horizontal="center" vertical="center" wrapText="1"/>
    </xf>
    <xf numFmtId="165" fontId="117" fillId="0" borderId="15" xfId="1" applyNumberFormat="1" applyFont="1" applyFill="1" applyBorder="1" applyAlignment="1">
      <alignment horizontal="left" vertical="center" wrapText="1"/>
    </xf>
    <xf numFmtId="165" fontId="118" fillId="0" borderId="15" xfId="1" applyNumberFormat="1" applyFont="1" applyFill="1" applyBorder="1" applyAlignment="1">
      <alignment horizontal="center" vertical="center" wrapText="1"/>
    </xf>
    <xf numFmtId="165" fontId="34" fillId="0" borderId="15" xfId="1" applyNumberFormat="1" applyFont="1" applyFill="1" applyBorder="1" applyAlignment="1">
      <alignment horizontal="left" vertical="center" wrapText="1"/>
    </xf>
    <xf numFmtId="164" fontId="48" fillId="0" borderId="12" xfId="2" applyNumberFormat="1" applyFont="1" applyFill="1" applyBorder="1" applyAlignment="1">
      <alignment horizontal="left" vertical="center" wrapText="1"/>
    </xf>
    <xf numFmtId="9" fontId="23" fillId="0" borderId="12" xfId="29" applyFont="1" applyFill="1" applyBorder="1" applyAlignment="1">
      <alignment horizontal="center" vertical="center"/>
    </xf>
    <xf numFmtId="165" fontId="23" fillId="0" borderId="15" xfId="1" applyNumberFormat="1" applyFont="1" applyFill="1" applyBorder="1" applyAlignment="1">
      <alignment horizontal="center" vertical="center" wrapText="1"/>
    </xf>
    <xf numFmtId="0" fontId="73" fillId="5" borderId="0" xfId="1" applyFont="1" applyFill="1"/>
    <xf numFmtId="0" fontId="58" fillId="0" borderId="0" xfId="1" applyFont="1" applyFill="1" applyAlignment="1">
      <alignment horizontal="center"/>
    </xf>
    <xf numFmtId="165" fontId="119" fillId="0" borderId="15" xfId="1" applyNumberFormat="1" applyFont="1" applyFill="1" applyBorder="1" applyAlignment="1">
      <alignment horizontal="center" vertical="center" wrapText="1"/>
    </xf>
    <xf numFmtId="165" fontId="117" fillId="0" borderId="15" xfId="1" applyNumberFormat="1" applyFont="1" applyFill="1" applyBorder="1" applyAlignment="1">
      <alignment vertical="center" wrapText="1"/>
    </xf>
    <xf numFmtId="165" fontId="117" fillId="0" borderId="15" xfId="1" applyNumberFormat="1" applyFont="1" applyFill="1" applyBorder="1" applyAlignment="1">
      <alignment horizontal="center" vertical="center" wrapText="1"/>
    </xf>
    <xf numFmtId="167" fontId="52" fillId="0" borderId="12" xfId="1" applyNumberFormat="1" applyFont="1" applyFill="1" applyBorder="1" applyAlignment="1">
      <alignment vertical="center" wrapText="1"/>
    </xf>
    <xf numFmtId="167" fontId="52" fillId="5" borderId="12" xfId="1" applyNumberFormat="1" applyFont="1" applyFill="1" applyBorder="1" applyAlignment="1">
      <alignment vertical="center" wrapText="1"/>
    </xf>
    <xf numFmtId="168" fontId="16" fillId="0" borderId="12" xfId="1" applyNumberFormat="1" applyFont="1" applyFill="1" applyBorder="1" applyAlignment="1">
      <alignment horizontal="center" vertical="center" wrapText="1"/>
    </xf>
    <xf numFmtId="167" fontId="120" fillId="0" borderId="12" xfId="1" applyNumberFormat="1" applyFont="1" applyFill="1" applyBorder="1" applyAlignment="1">
      <alignment vertical="center" wrapText="1"/>
    </xf>
    <xf numFmtId="0" fontId="69" fillId="5" borderId="0" xfId="1" applyFont="1" applyFill="1"/>
    <xf numFmtId="165" fontId="70" fillId="0" borderId="15" xfId="1" applyNumberFormat="1" applyFont="1" applyFill="1" applyBorder="1" applyAlignment="1">
      <alignment horizontal="center" vertical="center" wrapText="1"/>
    </xf>
    <xf numFmtId="165" fontId="7" fillId="0" borderId="14" xfId="1" applyNumberFormat="1" applyFont="1" applyFill="1" applyBorder="1" applyAlignment="1">
      <alignment horizontal="center" vertical="center" wrapText="1"/>
    </xf>
    <xf numFmtId="165" fontId="7" fillId="0" borderId="12" xfId="1" applyNumberFormat="1" applyFont="1" applyFill="1" applyBorder="1" applyAlignment="1">
      <alignment horizontal="center" vertical="center" wrapText="1"/>
    </xf>
    <xf numFmtId="49" fontId="7" fillId="0" borderId="12" xfId="1" applyNumberFormat="1" applyFont="1" applyFill="1" applyBorder="1" applyAlignment="1">
      <alignment horizontal="center" vertical="center" wrapText="1"/>
    </xf>
    <xf numFmtId="165" fontId="119" fillId="0" borderId="15" xfId="1" applyNumberFormat="1" applyFont="1" applyFill="1" applyBorder="1" applyAlignment="1">
      <alignment horizontal="left" vertical="center" wrapText="1"/>
    </xf>
    <xf numFmtId="165" fontId="121" fillId="0" borderId="15" xfId="1" applyNumberFormat="1" applyFont="1" applyFill="1" applyBorder="1" applyAlignment="1">
      <alignment horizontal="center" vertical="center" wrapText="1"/>
    </xf>
    <xf numFmtId="165" fontId="122" fillId="0" borderId="15" xfId="1" applyNumberFormat="1" applyFont="1" applyFill="1" applyBorder="1" applyAlignment="1">
      <alignment horizontal="center" vertical="center" wrapText="1"/>
    </xf>
    <xf numFmtId="165" fontId="28" fillId="0" borderId="15" xfId="1" applyNumberFormat="1" applyFont="1" applyFill="1" applyBorder="1" applyAlignment="1">
      <alignment horizontal="center" vertical="center" wrapText="1"/>
    </xf>
    <xf numFmtId="165" fontId="108" fillId="0" borderId="12" xfId="1" applyNumberFormat="1" applyFont="1" applyFill="1" applyBorder="1" applyAlignment="1">
      <alignment horizontal="center" vertical="center" wrapText="1"/>
    </xf>
    <xf numFmtId="9" fontId="30" fillId="0" borderId="12" xfId="29" applyFont="1" applyFill="1" applyBorder="1" applyAlignment="1">
      <alignment horizontal="center" vertical="center"/>
    </xf>
    <xf numFmtId="166" fontId="14" fillId="0" borderId="12" xfId="29" applyNumberFormat="1" applyFont="1" applyFill="1" applyBorder="1" applyAlignment="1">
      <alignment horizontal="center" vertical="center" wrapText="1"/>
    </xf>
    <xf numFmtId="166" fontId="31" fillId="0" borderId="12" xfId="29" applyNumberFormat="1" applyFont="1" applyFill="1" applyBorder="1" applyAlignment="1">
      <alignment horizontal="center" vertical="center" wrapText="1"/>
    </xf>
    <xf numFmtId="166" fontId="21" fillId="0" borderId="12" xfId="29" applyNumberFormat="1" applyFont="1" applyFill="1" applyBorder="1" applyAlignment="1">
      <alignment horizontal="center" vertical="center" wrapText="1"/>
    </xf>
    <xf numFmtId="166" fontId="48" fillId="0" borderId="12" xfId="29" applyNumberFormat="1" applyFont="1" applyFill="1" applyBorder="1" applyAlignment="1">
      <alignment horizontal="center" vertical="center" wrapText="1"/>
    </xf>
    <xf numFmtId="166" fontId="23" fillId="0" borderId="12" xfId="29" applyNumberFormat="1" applyFont="1" applyFill="1" applyBorder="1" applyAlignment="1">
      <alignment horizontal="center" vertical="center" wrapText="1"/>
    </xf>
    <xf numFmtId="166" fontId="7" fillId="0" borderId="12" xfId="29" applyNumberFormat="1" applyFont="1" applyFill="1" applyBorder="1" applyAlignment="1">
      <alignment horizontal="center" vertical="center" wrapText="1"/>
    </xf>
    <xf numFmtId="166" fontId="16" fillId="0" borderId="12" xfId="29" applyNumberFormat="1" applyFont="1" applyFill="1" applyBorder="1" applyAlignment="1">
      <alignment horizontal="center" vertical="center" wrapText="1"/>
    </xf>
    <xf numFmtId="166" fontId="30" fillId="0" borderId="12" xfId="29" applyNumberFormat="1" applyFont="1" applyFill="1" applyBorder="1" applyAlignment="1">
      <alignment horizontal="center" vertical="center" wrapText="1"/>
    </xf>
    <xf numFmtId="166" fontId="14" fillId="0" borderId="12" xfId="1" applyNumberFormat="1" applyFont="1" applyFill="1" applyBorder="1" applyAlignment="1">
      <alignment horizontal="center" vertical="center" wrapText="1"/>
    </xf>
    <xf numFmtId="166" fontId="31" fillId="0" borderId="12" xfId="1" applyNumberFormat="1" applyFont="1" applyFill="1" applyBorder="1" applyAlignment="1">
      <alignment horizontal="center" vertical="center" wrapText="1"/>
    </xf>
    <xf numFmtId="166" fontId="28" fillId="0" borderId="12" xfId="1" applyNumberFormat="1" applyFont="1" applyFill="1" applyBorder="1" applyAlignment="1">
      <alignment horizontal="center" vertical="center" wrapText="1"/>
    </xf>
    <xf numFmtId="166" fontId="23" fillId="0" borderId="12" xfId="1" applyNumberFormat="1" applyFont="1" applyFill="1" applyBorder="1" applyAlignment="1">
      <alignment horizontal="center" vertical="center" wrapText="1"/>
    </xf>
    <xf numFmtId="166" fontId="27" fillId="0" borderId="12" xfId="29" applyNumberFormat="1" applyFont="1" applyFill="1" applyBorder="1" applyAlignment="1">
      <alignment horizontal="center" vertical="center" wrapText="1"/>
    </xf>
    <xf numFmtId="166" fontId="25" fillId="0" borderId="12" xfId="1" applyNumberFormat="1" applyFont="1" applyFill="1" applyBorder="1" applyAlignment="1">
      <alignment horizontal="center" vertical="center" wrapText="1"/>
    </xf>
    <xf numFmtId="166" fontId="21" fillId="0" borderId="12" xfId="1" applyNumberFormat="1" applyFont="1" applyFill="1" applyBorder="1" applyAlignment="1">
      <alignment horizontal="center" vertical="center" wrapText="1"/>
    </xf>
    <xf numFmtId="166" fontId="28" fillId="0" borderId="12" xfId="29" applyNumberFormat="1" applyFont="1" applyFill="1" applyBorder="1" applyAlignment="1">
      <alignment horizontal="center" vertical="center" wrapText="1"/>
    </xf>
    <xf numFmtId="165" fontId="23" fillId="0" borderId="15" xfId="1" applyNumberFormat="1" applyFont="1" applyFill="1" applyBorder="1" applyAlignment="1">
      <alignment horizontal="left" vertical="center" wrapText="1"/>
    </xf>
    <xf numFmtId="0" fontId="23" fillId="0" borderId="0" xfId="1" applyFont="1" applyFill="1"/>
    <xf numFmtId="165" fontId="7" fillId="0" borderId="15" xfId="1" applyNumberFormat="1" applyFont="1" applyFill="1" applyBorder="1" applyAlignment="1">
      <alignment horizontal="center" vertical="center" wrapText="1"/>
    </xf>
    <xf numFmtId="165" fontId="78" fillId="0" borderId="12" xfId="1" applyNumberFormat="1" applyFont="1" applyFill="1" applyBorder="1" applyAlignment="1">
      <alignment horizontal="center" vertical="center" wrapText="1"/>
    </xf>
    <xf numFmtId="165" fontId="14" fillId="0" borderId="15" xfId="1" applyNumberFormat="1" applyFont="1" applyFill="1" applyBorder="1" applyAlignment="1">
      <alignment horizontal="center" vertical="center" wrapText="1"/>
    </xf>
    <xf numFmtId="166" fontId="16" fillId="0" borderId="12" xfId="29" applyNumberFormat="1" applyFont="1" applyFill="1" applyBorder="1" applyAlignment="1">
      <alignment horizontal="center" vertical="center"/>
    </xf>
    <xf numFmtId="166" fontId="7" fillId="0" borderId="12" xfId="1" applyNumberFormat="1" applyFont="1" applyFill="1" applyBorder="1" applyAlignment="1">
      <alignment horizontal="center" vertical="center" wrapText="1"/>
    </xf>
    <xf numFmtId="166" fontId="21" fillId="0" borderId="21" xfId="29" applyNumberFormat="1" applyFont="1" applyFill="1" applyBorder="1" applyAlignment="1">
      <alignment horizontal="center" vertical="center" wrapText="1"/>
    </xf>
    <xf numFmtId="49" fontId="123" fillId="0" borderId="0" xfId="1" applyNumberFormat="1" applyFont="1"/>
    <xf numFmtId="165" fontId="23" fillId="0" borderId="15" xfId="1" applyNumberFormat="1" applyFont="1" applyFill="1" applyBorder="1" applyAlignment="1">
      <alignment horizontal="center" vertical="center"/>
    </xf>
    <xf numFmtId="165" fontId="68" fillId="0" borderId="0" xfId="1" applyNumberFormat="1" applyFont="1" applyFill="1" applyBorder="1" applyAlignment="1">
      <alignment horizontal="center" vertical="center"/>
    </xf>
    <xf numFmtId="49" fontId="123" fillId="0" borderId="0" xfId="1" applyNumberFormat="1" applyFont="1" applyFill="1"/>
    <xf numFmtId="165" fontId="30" fillId="0" borderId="15" xfId="1" applyNumberFormat="1" applyFont="1" applyFill="1" applyBorder="1" applyAlignment="1">
      <alignment horizontal="center" vertical="center"/>
    </xf>
    <xf numFmtId="165" fontId="124" fillId="0" borderId="0" xfId="1" applyNumberFormat="1" applyFont="1" applyFill="1" applyBorder="1" applyAlignment="1">
      <alignment horizontal="center" vertical="center"/>
    </xf>
    <xf numFmtId="49" fontId="125" fillId="0" borderId="0" xfId="1" applyNumberFormat="1" applyFont="1" applyFill="1"/>
    <xf numFmtId="49" fontId="125" fillId="0" borderId="0" xfId="1" applyNumberFormat="1" applyFont="1"/>
    <xf numFmtId="49" fontId="15" fillId="4" borderId="12" xfId="1" applyNumberFormat="1" applyFont="1" applyFill="1" applyBorder="1" applyAlignment="1">
      <alignment horizontal="center" vertical="center"/>
    </xf>
    <xf numFmtId="164" fontId="15" fillId="4" borderId="12" xfId="1" applyNumberFormat="1" applyFont="1" applyFill="1" applyBorder="1" applyAlignment="1">
      <alignment horizontal="center" vertical="center"/>
    </xf>
    <xf numFmtId="165" fontId="7" fillId="4" borderId="12" xfId="1" applyNumberFormat="1" applyFont="1" applyFill="1" applyBorder="1" applyAlignment="1">
      <alignment horizontal="center" vertical="center"/>
    </xf>
    <xf numFmtId="166" fontId="7" fillId="4" borderId="12" xfId="1" applyNumberFormat="1" applyFont="1" applyFill="1" applyBorder="1" applyAlignment="1">
      <alignment horizontal="center" vertical="center"/>
    </xf>
    <xf numFmtId="9" fontId="7" fillId="4" borderId="12" xfId="1" applyNumberFormat="1" applyFont="1" applyFill="1" applyBorder="1" applyAlignment="1">
      <alignment horizontal="center" vertical="center"/>
    </xf>
    <xf numFmtId="165" fontId="7" fillId="0" borderId="15" xfId="1" applyNumberFormat="1" applyFont="1" applyFill="1" applyBorder="1" applyAlignment="1">
      <alignment horizontal="center" vertical="center"/>
    </xf>
    <xf numFmtId="165" fontId="70" fillId="0" borderId="0" xfId="1" applyNumberFormat="1" applyFont="1" applyFill="1" applyBorder="1" applyAlignment="1">
      <alignment horizontal="center" vertical="center"/>
    </xf>
    <xf numFmtId="49" fontId="126" fillId="0" borderId="0" xfId="1" applyNumberFormat="1" applyFont="1" applyFill="1"/>
    <xf numFmtId="49" fontId="126" fillId="0" borderId="0" xfId="1" applyNumberFormat="1" applyFont="1"/>
    <xf numFmtId="49" fontId="125" fillId="0" borderId="12" xfId="1" applyNumberFormat="1" applyFont="1" applyFill="1" applyBorder="1" applyAlignment="1">
      <alignment horizontal="center" vertical="center"/>
    </xf>
    <xf numFmtId="164" fontId="125" fillId="0" borderId="12" xfId="1" applyNumberFormat="1" applyFont="1" applyFill="1" applyBorder="1" applyAlignment="1">
      <alignment horizontal="center" vertical="center"/>
    </xf>
    <xf numFmtId="165" fontId="124" fillId="0" borderId="12" xfId="1" applyNumberFormat="1" applyFont="1" applyFill="1" applyBorder="1" applyAlignment="1">
      <alignment horizontal="center" vertical="center"/>
    </xf>
    <xf numFmtId="166" fontId="124" fillId="0" borderId="12" xfId="1" applyNumberFormat="1" applyFont="1" applyFill="1" applyBorder="1" applyAlignment="1">
      <alignment horizontal="center" vertical="center"/>
    </xf>
    <xf numFmtId="9" fontId="124" fillId="0" borderId="12" xfId="1" applyNumberFormat="1" applyFont="1" applyFill="1" applyBorder="1" applyAlignment="1">
      <alignment horizontal="center" vertical="center"/>
    </xf>
    <xf numFmtId="164" fontId="124" fillId="0" borderId="15" xfId="1" applyNumberFormat="1" applyFont="1" applyFill="1" applyBorder="1" applyAlignment="1">
      <alignment horizontal="center" vertical="center"/>
    </xf>
    <xf numFmtId="49" fontId="127" fillId="0" borderId="0" xfId="1" applyNumberFormat="1" applyFont="1" applyFill="1"/>
    <xf numFmtId="49" fontId="127" fillId="0" borderId="0" xfId="1" applyNumberFormat="1" applyFont="1"/>
    <xf numFmtId="49" fontId="15" fillId="0" borderId="12" xfId="1" applyNumberFormat="1" applyFont="1" applyBorder="1" applyAlignment="1">
      <alignment horizontal="center" vertical="center"/>
    </xf>
    <xf numFmtId="164" fontId="15" fillId="0" borderId="12" xfId="1" applyNumberFormat="1" applyFont="1" applyBorder="1" applyAlignment="1">
      <alignment horizontal="center" vertical="center"/>
    </xf>
    <xf numFmtId="165" fontId="7" fillId="0" borderId="12" xfId="1" applyNumberFormat="1" applyFont="1" applyBorder="1" applyAlignment="1">
      <alignment horizontal="center" vertical="center"/>
    </xf>
    <xf numFmtId="166" fontId="7" fillId="0" borderId="12" xfId="1" applyNumberFormat="1" applyFont="1" applyBorder="1" applyAlignment="1">
      <alignment horizontal="center" vertical="center"/>
    </xf>
    <xf numFmtId="9" fontId="7" fillId="0" borderId="12" xfId="1" applyNumberFormat="1" applyFont="1" applyBorder="1" applyAlignment="1">
      <alignment horizontal="center" vertical="center"/>
    </xf>
    <xf numFmtId="164" fontId="17" fillId="0" borderId="12" xfId="3" applyNumberFormat="1" applyFont="1" applyFill="1" applyBorder="1" applyAlignment="1">
      <alignment horizontal="center" vertical="center"/>
    </xf>
    <xf numFmtId="164" fontId="16" fillId="0" borderId="12" xfId="1" applyNumberFormat="1" applyFont="1" applyFill="1" applyBorder="1" applyAlignment="1">
      <alignment horizontal="center" vertical="center"/>
    </xf>
    <xf numFmtId="164" fontId="115" fillId="0" borderId="12" xfId="1" applyNumberFormat="1" applyFont="1" applyFill="1" applyBorder="1" applyAlignment="1">
      <alignment horizontal="center" vertical="center"/>
    </xf>
    <xf numFmtId="164" fontId="27" fillId="0" borderId="12" xfId="1" applyNumberFormat="1" applyFont="1" applyFill="1" applyBorder="1" applyAlignment="1">
      <alignment horizontal="center" vertical="center" wrapText="1"/>
    </xf>
    <xf numFmtId="49" fontId="128" fillId="0" borderId="14" xfId="1" applyNumberFormat="1" applyFont="1" applyFill="1" applyBorder="1" applyAlignment="1">
      <alignment horizontal="center" vertical="center" wrapText="1"/>
    </xf>
    <xf numFmtId="167" fontId="25" fillId="0" borderId="12" xfId="1" applyNumberFormat="1" applyFont="1" applyFill="1" applyBorder="1" applyAlignment="1">
      <alignment vertical="center" wrapText="1"/>
    </xf>
    <xf numFmtId="165" fontId="7" fillId="0" borderId="12" xfId="1" applyNumberFormat="1" applyFont="1" applyFill="1" applyBorder="1" applyAlignment="1">
      <alignment horizontal="center" vertical="center" wrapText="1"/>
    </xf>
    <xf numFmtId="165" fontId="31" fillId="0" borderId="12" xfId="1" quotePrefix="1" applyNumberFormat="1" applyFont="1" applyFill="1" applyBorder="1" applyAlignment="1">
      <alignment horizontal="left" vertical="center" wrapText="1"/>
    </xf>
    <xf numFmtId="167" fontId="64" fillId="0" borderId="15" xfId="1" applyNumberFormat="1" applyFont="1" applyFill="1" applyBorder="1" applyAlignment="1">
      <alignment vertical="center" wrapText="1"/>
    </xf>
    <xf numFmtId="165" fontId="48" fillId="0" borderId="12" xfId="1" quotePrefix="1" applyNumberFormat="1" applyFont="1" applyFill="1" applyBorder="1" applyAlignment="1">
      <alignment horizontal="left" vertical="center" wrapText="1"/>
    </xf>
    <xf numFmtId="165" fontId="48" fillId="0" borderId="12" xfId="1" applyNumberFormat="1" applyFont="1" applyFill="1" applyBorder="1" applyAlignment="1">
      <alignment horizontal="left" vertical="center" wrapText="1"/>
    </xf>
    <xf numFmtId="165" fontId="31" fillId="0" borderId="12" xfId="1" quotePrefix="1" applyNumberFormat="1" applyFont="1" applyFill="1" applyBorder="1" applyAlignment="1">
      <alignment horizontal="left" vertical="center" wrapText="1"/>
    </xf>
    <xf numFmtId="165" fontId="48" fillId="0" borderId="12" xfId="1" quotePrefix="1" applyNumberFormat="1" applyFont="1" applyFill="1" applyBorder="1" applyAlignment="1">
      <alignment horizontal="left" vertical="center" wrapText="1"/>
    </xf>
    <xf numFmtId="165" fontId="7" fillId="0" borderId="12" xfId="1" applyNumberFormat="1" applyFont="1" applyFill="1" applyBorder="1" applyAlignment="1">
      <alignment horizontal="center" vertical="center" wrapText="1"/>
    </xf>
    <xf numFmtId="165" fontId="31" fillId="0" borderId="12" xfId="1" quotePrefix="1" applyNumberFormat="1" applyFont="1" applyFill="1" applyBorder="1" applyAlignment="1">
      <alignment horizontal="left" vertical="center" wrapText="1"/>
    </xf>
    <xf numFmtId="165" fontId="51" fillId="0" borderId="14" xfId="1" applyNumberFormat="1" applyFont="1" applyFill="1" applyBorder="1" applyAlignment="1">
      <alignment horizontal="center" vertical="center"/>
    </xf>
    <xf numFmtId="165" fontId="51" fillId="0" borderId="12" xfId="1" applyNumberFormat="1" applyFont="1" applyFill="1" applyBorder="1" applyAlignment="1">
      <alignment horizontal="center" vertical="center" wrapText="1"/>
    </xf>
    <xf numFmtId="165" fontId="31" fillId="0" borderId="15" xfId="1" applyNumberFormat="1" applyFont="1" applyFill="1" applyBorder="1" applyAlignment="1">
      <alignment horizontal="center" vertical="center" wrapText="1"/>
    </xf>
    <xf numFmtId="165" fontId="7" fillId="0" borderId="14" xfId="1" applyNumberFormat="1" applyFont="1" applyFill="1" applyBorder="1" applyAlignment="1">
      <alignment horizontal="center" vertical="center"/>
    </xf>
    <xf numFmtId="0" fontId="70" fillId="0" borderId="0" xfId="1" applyFont="1" applyFill="1"/>
    <xf numFmtId="165" fontId="48" fillId="0" borderId="12" xfId="1" quotePrefix="1" applyNumberFormat="1" applyFont="1" applyFill="1" applyBorder="1" applyAlignment="1">
      <alignment horizontal="left" vertical="center" wrapText="1"/>
    </xf>
    <xf numFmtId="165" fontId="31" fillId="0" borderId="12" xfId="1" quotePrefix="1" applyNumberFormat="1" applyFont="1" applyFill="1" applyBorder="1" applyAlignment="1">
      <alignment horizontal="left" vertical="center" wrapText="1"/>
    </xf>
    <xf numFmtId="165" fontId="48" fillId="0" borderId="12" xfId="1" applyNumberFormat="1" applyFont="1" applyFill="1" applyBorder="1" applyAlignment="1">
      <alignment horizontal="left" vertical="center" wrapText="1"/>
    </xf>
    <xf numFmtId="165" fontId="7" fillId="0" borderId="12" xfId="1" applyNumberFormat="1" applyFont="1" applyFill="1" applyBorder="1" applyAlignment="1">
      <alignment horizontal="center" vertical="center" wrapText="1"/>
    </xf>
    <xf numFmtId="0" fontId="129" fillId="0" borderId="0" xfId="1" applyFont="1" applyFill="1"/>
    <xf numFmtId="165" fontId="122" fillId="0" borderId="15" xfId="1" applyNumberFormat="1" applyFont="1" applyFill="1" applyBorder="1" applyAlignment="1">
      <alignment horizontal="left" vertical="center" wrapText="1"/>
    </xf>
    <xf numFmtId="165" fontId="7" fillId="0" borderId="0" xfId="1" applyNumberFormat="1" applyFont="1" applyFill="1" applyBorder="1" applyAlignment="1">
      <alignment horizontal="left" vertical="center" wrapText="1"/>
    </xf>
    <xf numFmtId="165" fontId="130" fillId="0" borderId="15" xfId="1" applyNumberFormat="1" applyFont="1" applyFill="1" applyBorder="1" applyAlignment="1">
      <alignment horizontal="center" vertical="center" wrapText="1"/>
    </xf>
    <xf numFmtId="165" fontId="14" fillId="6" borderId="12" xfId="1" quotePrefix="1" applyNumberFormat="1" applyFont="1" applyFill="1" applyBorder="1" applyAlignment="1">
      <alignment horizontal="left" vertical="center" wrapText="1"/>
    </xf>
    <xf numFmtId="165" fontId="48" fillId="0" borderId="12" xfId="1" quotePrefix="1" applyNumberFormat="1" applyFont="1" applyFill="1" applyBorder="1" applyAlignment="1">
      <alignment horizontal="left" vertical="center" wrapText="1"/>
    </xf>
    <xf numFmtId="165" fontId="7" fillId="0" borderId="12" xfId="1" applyNumberFormat="1" applyFont="1" applyFill="1" applyBorder="1" applyAlignment="1">
      <alignment horizontal="center" vertical="center" wrapText="1"/>
    </xf>
    <xf numFmtId="165" fontId="7" fillId="0" borderId="12" xfId="1" applyNumberFormat="1" applyFont="1" applyFill="1" applyBorder="1" applyAlignment="1">
      <alignment horizontal="center" vertical="center" wrapText="1"/>
    </xf>
    <xf numFmtId="165" fontId="7" fillId="0" borderId="12" xfId="29" applyNumberFormat="1" applyFont="1" applyFill="1" applyBorder="1" applyAlignment="1">
      <alignment horizontal="center" vertical="center"/>
    </xf>
    <xf numFmtId="165" fontId="23" fillId="0" borderId="12" xfId="29" applyNumberFormat="1" applyFont="1" applyFill="1" applyBorder="1" applyAlignment="1">
      <alignment horizontal="center" vertical="center"/>
    </xf>
    <xf numFmtId="165" fontId="27" fillId="0" borderId="12" xfId="29" applyNumberFormat="1" applyFont="1" applyFill="1" applyBorder="1" applyAlignment="1">
      <alignment horizontal="center" vertical="center"/>
    </xf>
    <xf numFmtId="165" fontId="108" fillId="0" borderId="12" xfId="29" applyNumberFormat="1" applyFont="1" applyFill="1" applyBorder="1" applyAlignment="1">
      <alignment horizontal="center" vertical="center"/>
    </xf>
    <xf numFmtId="165" fontId="30" fillId="0" borderId="12" xfId="29" applyNumberFormat="1" applyFont="1" applyFill="1" applyBorder="1" applyAlignment="1">
      <alignment horizontal="center" vertical="center"/>
    </xf>
    <xf numFmtId="165" fontId="33" fillId="0" borderId="12" xfId="29" applyNumberFormat="1" applyFont="1" applyFill="1" applyBorder="1" applyAlignment="1">
      <alignment horizontal="center" vertical="center"/>
    </xf>
    <xf numFmtId="165" fontId="16" fillId="0" borderId="12" xfId="29" applyNumberFormat="1" applyFont="1" applyFill="1" applyBorder="1" applyAlignment="1">
      <alignment horizontal="center" vertical="center"/>
    </xf>
    <xf numFmtId="165" fontId="23" fillId="0" borderId="12" xfId="29" applyNumberFormat="1" applyFont="1" applyFill="1" applyBorder="1" applyAlignment="1">
      <alignment horizontal="center" vertical="center" wrapText="1"/>
    </xf>
    <xf numFmtId="165" fontId="31" fillId="0" borderId="12" xfId="29" applyNumberFormat="1" applyFont="1" applyFill="1" applyBorder="1" applyAlignment="1">
      <alignment horizontal="center" vertical="center" wrapText="1"/>
    </xf>
    <xf numFmtId="165" fontId="14" fillId="0" borderId="12" xfId="29" applyNumberFormat="1" applyFont="1" applyFill="1" applyBorder="1" applyAlignment="1">
      <alignment horizontal="center" vertical="center" wrapText="1"/>
    </xf>
    <xf numFmtId="165" fontId="21" fillId="0" borderId="12" xfId="29" applyNumberFormat="1" applyFont="1" applyFill="1" applyBorder="1" applyAlignment="1">
      <alignment horizontal="center" vertical="center" wrapText="1"/>
    </xf>
    <xf numFmtId="165" fontId="25" fillId="0" borderId="12" xfId="29" applyNumberFormat="1" applyFont="1" applyFill="1" applyBorder="1" applyAlignment="1">
      <alignment horizontal="center" vertical="center" wrapText="1"/>
    </xf>
    <xf numFmtId="165" fontId="48" fillId="0" borderId="12" xfId="29" applyNumberFormat="1" applyFont="1" applyFill="1" applyBorder="1" applyAlignment="1">
      <alignment horizontal="center" vertical="center" wrapText="1"/>
    </xf>
    <xf numFmtId="165" fontId="23" fillId="3" borderId="12" xfId="1" applyNumberFormat="1" applyFont="1" applyFill="1" applyBorder="1" applyAlignment="1">
      <alignment horizontal="center" vertical="center" wrapText="1"/>
    </xf>
    <xf numFmtId="165" fontId="28" fillId="0" borderId="12" xfId="29" applyNumberFormat="1" applyFont="1" applyFill="1" applyBorder="1" applyAlignment="1">
      <alignment horizontal="center" vertical="center" wrapText="1"/>
    </xf>
    <xf numFmtId="165" fontId="48" fillId="0" borderId="12" xfId="1" quotePrefix="1" applyNumberFormat="1" applyFont="1" applyFill="1" applyBorder="1" applyAlignment="1">
      <alignment horizontal="left" vertical="center" wrapText="1"/>
    </xf>
    <xf numFmtId="165" fontId="31" fillId="0" borderId="12" xfId="1" quotePrefix="1" applyNumberFormat="1" applyFont="1" applyFill="1" applyBorder="1" applyAlignment="1">
      <alignment horizontal="left" vertical="center" wrapText="1"/>
    </xf>
    <xf numFmtId="164" fontId="75" fillId="0" borderId="12" xfId="1" applyNumberFormat="1" applyFont="1" applyFill="1" applyBorder="1" applyAlignment="1">
      <alignment horizontal="center" vertical="center"/>
    </xf>
    <xf numFmtId="165" fontId="74" fillId="0" borderId="15" xfId="1" applyNumberFormat="1" applyFont="1" applyFill="1" applyBorder="1" applyAlignment="1">
      <alignment horizontal="center" vertical="center" wrapText="1"/>
    </xf>
    <xf numFmtId="0" fontId="131" fillId="0" borderId="0" xfId="1" applyFont="1" applyFill="1"/>
    <xf numFmtId="49" fontId="132" fillId="0" borderId="14" xfId="1" applyNumberFormat="1" applyFont="1" applyFill="1" applyBorder="1" applyAlignment="1">
      <alignment horizontal="center" vertical="center" wrapText="1"/>
    </xf>
    <xf numFmtId="164" fontId="133" fillId="0" borderId="12" xfId="1" applyNumberFormat="1" applyFont="1" applyFill="1" applyBorder="1" applyAlignment="1">
      <alignment horizontal="center" vertical="center" wrapText="1"/>
    </xf>
    <xf numFmtId="165" fontId="133" fillId="0" borderId="12" xfId="1" applyNumberFormat="1" applyFont="1" applyFill="1" applyBorder="1" applyAlignment="1">
      <alignment horizontal="center" vertical="center" wrapText="1"/>
    </xf>
    <xf numFmtId="165" fontId="133" fillId="0" borderId="12" xfId="1" quotePrefix="1" applyNumberFormat="1" applyFont="1" applyFill="1" applyBorder="1" applyAlignment="1">
      <alignment horizontal="center" vertical="center" wrapText="1"/>
    </xf>
    <xf numFmtId="166" fontId="115" fillId="0" borderId="12" xfId="1" quotePrefix="1" applyNumberFormat="1" applyFont="1" applyFill="1" applyBorder="1" applyAlignment="1">
      <alignment horizontal="center" vertical="center" wrapText="1"/>
    </xf>
    <xf numFmtId="9" fontId="115" fillId="0" borderId="12" xfId="1" quotePrefix="1" applyNumberFormat="1" applyFont="1" applyFill="1" applyBorder="1" applyAlignment="1">
      <alignment horizontal="center" vertical="center" wrapText="1"/>
    </xf>
    <xf numFmtId="165" fontId="115" fillId="0" borderId="12" xfId="1" quotePrefix="1" applyNumberFormat="1" applyFont="1" applyFill="1" applyBorder="1" applyAlignment="1">
      <alignment horizontal="center" vertical="center" wrapText="1"/>
    </xf>
    <xf numFmtId="165" fontId="134" fillId="0" borderId="0" xfId="1" applyNumberFormat="1" applyFont="1" applyFill="1" applyBorder="1" applyAlignment="1">
      <alignment horizontal="center" vertical="center" wrapText="1"/>
    </xf>
    <xf numFmtId="165" fontId="31" fillId="0" borderId="12" xfId="1" quotePrefix="1" applyNumberFormat="1" applyFont="1" applyFill="1" applyBorder="1" applyAlignment="1">
      <alignment horizontal="left" vertical="center" wrapText="1"/>
    </xf>
    <xf numFmtId="170" fontId="14" fillId="0" borderId="12" xfId="1" applyNumberFormat="1" applyFont="1" applyFill="1" applyBorder="1" applyAlignment="1">
      <alignment horizontal="center" vertical="center" wrapText="1"/>
    </xf>
    <xf numFmtId="170" fontId="25" fillId="0" borderId="12" xfId="1" applyNumberFormat="1" applyFont="1" applyFill="1" applyBorder="1" applyAlignment="1">
      <alignment horizontal="center" vertical="center" wrapText="1"/>
    </xf>
    <xf numFmtId="164" fontId="48" fillId="6" borderId="12" xfId="1" applyNumberFormat="1" applyFont="1" applyFill="1" applyBorder="1" applyAlignment="1">
      <alignment horizontal="center" vertical="center" wrapText="1"/>
    </xf>
    <xf numFmtId="164" fontId="72" fillId="0" borderId="12" xfId="1" applyNumberFormat="1" applyFont="1" applyFill="1" applyBorder="1" applyAlignment="1">
      <alignment horizontal="center" vertical="center" wrapText="1"/>
    </xf>
    <xf numFmtId="164" fontId="88" fillId="0" borderId="0" xfId="1" applyNumberFormat="1" applyFont="1" applyFill="1"/>
    <xf numFmtId="165" fontId="113" fillId="0" borderId="14" xfId="1" applyNumberFormat="1" applyFont="1" applyFill="1" applyBorder="1" applyAlignment="1">
      <alignment horizontal="center" vertical="center" wrapText="1"/>
    </xf>
    <xf numFmtId="165" fontId="114" fillId="0" borderId="12" xfId="29" applyNumberFormat="1" applyFont="1" applyFill="1" applyBorder="1" applyAlignment="1">
      <alignment horizontal="center" vertical="center" wrapText="1"/>
    </xf>
    <xf numFmtId="164" fontId="9" fillId="0" borderId="4" xfId="20" applyNumberFormat="1" applyFont="1" applyFill="1" applyBorder="1" applyAlignment="1">
      <alignment horizontal="center" vertical="center" wrapText="1"/>
    </xf>
    <xf numFmtId="164" fontId="9" fillId="0" borderId="21" xfId="20" applyNumberFormat="1" applyFont="1" applyFill="1" applyBorder="1" applyAlignment="1">
      <alignment horizontal="center" vertical="center" wrapText="1"/>
    </xf>
    <xf numFmtId="0" fontId="8" fillId="0" borderId="0" xfId="1" applyFont="1" applyBorder="1" applyAlignment="1">
      <alignment horizontal="center" vertical="center" wrapText="1"/>
    </xf>
    <xf numFmtId="49" fontId="10" fillId="0" borderId="2" xfId="1" applyNumberFormat="1" applyFont="1" applyFill="1" applyBorder="1" applyAlignment="1">
      <alignment horizontal="center" vertical="center" wrapText="1"/>
    </xf>
    <xf numFmtId="49" fontId="10" fillId="0" borderId="34"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33" xfId="1" applyFont="1" applyFill="1" applyBorder="1" applyAlignment="1">
      <alignment horizontal="center" vertical="center" wrapText="1"/>
    </xf>
    <xf numFmtId="164" fontId="9" fillId="0" borderId="3" xfId="1" applyNumberFormat="1" applyFont="1" applyFill="1" applyBorder="1" applyAlignment="1">
      <alignment horizontal="center" vertical="center" wrapText="1"/>
    </xf>
    <xf numFmtId="164" fontId="9" fillId="0" borderId="33" xfId="1" applyNumberFormat="1" applyFont="1" applyFill="1" applyBorder="1" applyAlignment="1">
      <alignment horizontal="center" vertical="center" wrapText="1"/>
    </xf>
    <xf numFmtId="164" fontId="9" fillId="8" borderId="5" xfId="20" applyNumberFormat="1" applyFont="1" applyFill="1" applyBorder="1" applyAlignment="1">
      <alignment horizontal="center" vertical="center" wrapText="1"/>
    </xf>
    <xf numFmtId="164" fontId="9" fillId="8" borderId="7" xfId="20" applyNumberFormat="1" applyFont="1" applyFill="1" applyBorder="1" applyAlignment="1">
      <alignment horizontal="center" vertical="center" wrapText="1"/>
    </xf>
    <xf numFmtId="164" fontId="9" fillId="8" borderId="6" xfId="20" applyNumberFormat="1" applyFont="1" applyFill="1" applyBorder="1" applyAlignment="1">
      <alignment horizontal="center" vertical="center" wrapText="1"/>
    </xf>
    <xf numFmtId="164" fontId="9" fillId="0" borderId="5" xfId="1" applyNumberFormat="1" applyFont="1" applyFill="1" applyBorder="1" applyAlignment="1">
      <alignment horizontal="center" vertical="center" wrapText="1"/>
    </xf>
    <xf numFmtId="164" fontId="9" fillId="0" borderId="6" xfId="1" applyNumberFormat="1" applyFont="1" applyFill="1" applyBorder="1" applyAlignment="1">
      <alignment horizontal="center" vertical="center" wrapText="1"/>
    </xf>
    <xf numFmtId="164" fontId="9" fillId="8" borderId="4" xfId="20" applyNumberFormat="1" applyFont="1" applyFill="1" applyBorder="1" applyAlignment="1">
      <alignment horizontal="center" vertical="center" wrapText="1"/>
    </xf>
    <xf numFmtId="164" fontId="9" fillId="2" borderId="3" xfId="1" applyNumberFormat="1" applyFont="1" applyFill="1" applyBorder="1" applyAlignment="1">
      <alignment horizontal="center" vertical="center" wrapText="1"/>
    </xf>
    <xf numFmtId="164" fontId="9" fillId="2" borderId="33" xfId="1" applyNumberFormat="1" applyFont="1" applyFill="1" applyBorder="1" applyAlignment="1">
      <alignment horizontal="center" vertical="center" wrapText="1"/>
    </xf>
    <xf numFmtId="164" fontId="9" fillId="0" borderId="7" xfId="1" applyNumberFormat="1" applyFont="1" applyFill="1" applyBorder="1" applyAlignment="1">
      <alignment horizontal="center" vertical="center" wrapText="1"/>
    </xf>
    <xf numFmtId="164" fontId="9" fillId="3" borderId="4" xfId="1" applyNumberFormat="1" applyFont="1" applyFill="1" applyBorder="1" applyAlignment="1">
      <alignment horizontal="center" vertical="center" wrapText="1"/>
    </xf>
    <xf numFmtId="164" fontId="9" fillId="3" borderId="21" xfId="1" applyNumberFormat="1" applyFont="1" applyFill="1" applyBorder="1" applyAlignment="1">
      <alignment horizontal="center" vertical="center" wrapText="1"/>
    </xf>
    <xf numFmtId="164" fontId="9" fillId="0" borderId="8" xfId="1" applyNumberFormat="1" applyFont="1" applyFill="1" applyBorder="1" applyAlignment="1">
      <alignment horizontal="center" vertical="center" wrapText="1"/>
    </xf>
    <xf numFmtId="164" fontId="9" fillId="0" borderId="13" xfId="1" applyNumberFormat="1" applyFont="1" applyFill="1" applyBorder="1" applyAlignment="1">
      <alignment horizontal="center" vertical="center" wrapText="1"/>
    </xf>
    <xf numFmtId="164" fontId="14" fillId="0" borderId="14" xfId="2" applyNumberFormat="1" applyFont="1" applyFill="1" applyBorder="1" applyAlignment="1">
      <alignment horizontal="center" vertical="center" wrapText="1"/>
    </xf>
    <xf numFmtId="164" fontId="14" fillId="0" borderId="12" xfId="2" applyNumberFormat="1" applyFont="1" applyFill="1" applyBorder="1" applyAlignment="1">
      <alignment horizontal="center" vertical="center" wrapText="1"/>
    </xf>
    <xf numFmtId="167" fontId="17" fillId="0" borderId="14" xfId="1" applyNumberFormat="1" applyFont="1" applyFill="1" applyBorder="1" applyAlignment="1">
      <alignment horizontal="center" vertical="center" wrapText="1"/>
    </xf>
    <xf numFmtId="167" fontId="17" fillId="0" borderId="12" xfId="1" applyNumberFormat="1" applyFont="1" applyFill="1" applyBorder="1" applyAlignment="1">
      <alignment horizontal="center" vertical="center" wrapText="1"/>
    </xf>
    <xf numFmtId="164" fontId="21" fillId="0" borderId="14" xfId="2" applyNumberFormat="1" applyFont="1" applyFill="1" applyBorder="1" applyAlignment="1">
      <alignment horizontal="center" vertical="center" wrapText="1"/>
    </xf>
    <xf numFmtId="164" fontId="21" fillId="0" borderId="12" xfId="2" applyNumberFormat="1"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164" fontId="9" fillId="0" borderId="12" xfId="1" applyNumberFormat="1" applyFont="1" applyFill="1" applyBorder="1" applyAlignment="1">
      <alignment horizontal="center" vertical="center" wrapText="1"/>
    </xf>
    <xf numFmtId="164" fontId="9" fillId="0" borderId="11" xfId="1" applyNumberFormat="1" applyFont="1" applyFill="1" applyBorder="1" applyAlignment="1">
      <alignment horizontal="center" vertical="center" wrapText="1"/>
    </xf>
    <xf numFmtId="164" fontId="9" fillId="3" borderId="3" xfId="1" applyNumberFormat="1" applyFont="1" applyFill="1" applyBorder="1" applyAlignment="1">
      <alignment horizontal="center" vertical="center" wrapText="1"/>
    </xf>
    <xf numFmtId="164" fontId="9" fillId="3" borderId="11" xfId="1" applyNumberFormat="1" applyFont="1" applyFill="1" applyBorder="1" applyAlignment="1">
      <alignment horizontal="center" vertical="center" wrapText="1"/>
    </xf>
    <xf numFmtId="164" fontId="9" fillId="0" borderId="21" xfId="1" applyNumberFormat="1" applyFont="1" applyFill="1" applyBorder="1" applyAlignment="1">
      <alignment horizontal="center" vertical="center" wrapText="1"/>
    </xf>
    <xf numFmtId="164" fontId="114" fillId="0" borderId="14" xfId="2" applyNumberFormat="1" applyFont="1" applyFill="1" applyBorder="1" applyAlignment="1">
      <alignment horizontal="center" vertical="center" wrapText="1"/>
    </xf>
    <xf numFmtId="164" fontId="114" fillId="0" borderId="12" xfId="2" applyNumberFormat="1" applyFont="1" applyFill="1" applyBorder="1" applyAlignment="1">
      <alignment horizontal="center" vertical="center" wrapText="1"/>
    </xf>
    <xf numFmtId="164" fontId="31" fillId="0" borderId="14" xfId="2" applyNumberFormat="1" applyFont="1" applyFill="1" applyBorder="1" applyAlignment="1">
      <alignment horizontal="center" vertical="center" wrapText="1"/>
    </xf>
    <xf numFmtId="164" fontId="31" fillId="0" borderId="12" xfId="2" applyNumberFormat="1" applyFont="1" applyFill="1" applyBorder="1" applyAlignment="1">
      <alignment horizontal="center" vertical="center" wrapText="1"/>
    </xf>
    <xf numFmtId="164" fontId="25" fillId="0" borderId="14" xfId="2" applyNumberFormat="1" applyFont="1" applyFill="1" applyBorder="1" applyAlignment="1">
      <alignment horizontal="center" vertical="center" wrapText="1"/>
    </xf>
    <xf numFmtId="164" fontId="25" fillId="0" borderId="12" xfId="2" applyNumberFormat="1" applyFont="1" applyFill="1" applyBorder="1" applyAlignment="1">
      <alignment horizontal="center" vertical="center" wrapText="1"/>
    </xf>
    <xf numFmtId="164" fontId="28" fillId="0" borderId="14" xfId="2" applyNumberFormat="1" applyFont="1" applyFill="1" applyBorder="1" applyAlignment="1">
      <alignment horizontal="center" vertical="center" wrapText="1"/>
    </xf>
    <xf numFmtId="164" fontId="28" fillId="0" borderId="12" xfId="2" applyNumberFormat="1" applyFont="1" applyFill="1" applyBorder="1" applyAlignment="1">
      <alignment horizontal="center" vertical="center" wrapText="1"/>
    </xf>
    <xf numFmtId="167" fontId="21" fillId="0" borderId="14" xfId="1" applyNumberFormat="1" applyFont="1" applyFill="1" applyBorder="1" applyAlignment="1">
      <alignment horizontal="center" vertical="center" wrapText="1"/>
    </xf>
    <xf numFmtId="167" fontId="21" fillId="0" borderId="12" xfId="1" applyNumberFormat="1" applyFont="1" applyFill="1" applyBorder="1" applyAlignment="1">
      <alignment horizontal="center" vertical="center" wrapText="1"/>
    </xf>
    <xf numFmtId="167" fontId="108" fillId="0" borderId="36" xfId="1" applyNumberFormat="1" applyFont="1" applyFill="1" applyBorder="1" applyAlignment="1">
      <alignment horizontal="center" vertical="center" wrapText="1"/>
    </xf>
    <xf numFmtId="167" fontId="108" fillId="0" borderId="37" xfId="1" applyNumberFormat="1" applyFont="1" applyFill="1" applyBorder="1" applyAlignment="1">
      <alignment horizontal="center" vertical="center" wrapText="1"/>
    </xf>
    <xf numFmtId="0" fontId="14" fillId="0" borderId="14"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5" xfId="2" applyFont="1" applyBorder="1" applyAlignment="1">
      <alignment horizontal="center" vertical="center" wrapText="1"/>
    </xf>
    <xf numFmtId="165" fontId="48" fillId="0" borderId="12" xfId="1" quotePrefix="1" applyNumberFormat="1" applyFont="1" applyFill="1" applyBorder="1" applyAlignment="1">
      <alignment horizontal="left" vertical="center" wrapText="1"/>
    </xf>
    <xf numFmtId="167" fontId="21" fillId="0" borderId="26" xfId="1" applyNumberFormat="1" applyFont="1" applyFill="1" applyBorder="1" applyAlignment="1">
      <alignment horizontal="left" vertical="center" wrapText="1"/>
    </xf>
    <xf numFmtId="167" fontId="21" fillId="0" borderId="27" xfId="1" applyNumberFormat="1" applyFont="1" applyFill="1" applyBorder="1" applyAlignment="1">
      <alignment horizontal="left" vertical="center" wrapText="1"/>
    </xf>
    <xf numFmtId="167" fontId="17" fillId="0" borderId="10" xfId="1" applyNumberFormat="1" applyFont="1" applyFill="1" applyBorder="1" applyAlignment="1">
      <alignment horizontal="center" vertical="center" wrapText="1"/>
    </xf>
    <xf numFmtId="167" fontId="17" fillId="0" borderId="11" xfId="1" applyNumberFormat="1" applyFont="1" applyFill="1" applyBorder="1" applyAlignment="1">
      <alignment horizontal="center" vertical="center" wrapText="1"/>
    </xf>
    <xf numFmtId="165" fontId="63" fillId="0" borderId="17" xfId="1" applyNumberFormat="1" applyFont="1" applyFill="1" applyBorder="1" applyAlignment="1">
      <alignment horizontal="left" vertical="center" wrapText="1"/>
    </xf>
    <xf numFmtId="165" fontId="63" fillId="0" borderId="13" xfId="1" applyNumberFormat="1" applyFont="1" applyFill="1" applyBorder="1" applyAlignment="1">
      <alignment horizontal="left" vertical="center" wrapText="1"/>
    </xf>
    <xf numFmtId="49" fontId="7" fillId="0" borderId="14" xfId="1" applyNumberFormat="1" applyFont="1" applyFill="1" applyBorder="1" applyAlignment="1">
      <alignment horizontal="center" vertical="center" wrapText="1"/>
    </xf>
    <xf numFmtId="49" fontId="7" fillId="0" borderId="12" xfId="1" applyNumberFormat="1" applyFont="1" applyFill="1" applyBorder="1" applyAlignment="1">
      <alignment horizontal="center" vertical="center" wrapText="1"/>
    </xf>
    <xf numFmtId="49" fontId="88" fillId="0" borderId="0" xfId="1" applyNumberFormat="1" applyFont="1" applyFill="1" applyAlignment="1">
      <alignment horizontal="center" vertical="center" wrapText="1"/>
    </xf>
    <xf numFmtId="164" fontId="90" fillId="0" borderId="0" xfId="1" applyNumberFormat="1" applyFont="1" applyFill="1" applyAlignment="1">
      <alignment horizontal="center" vertical="center" wrapText="1"/>
    </xf>
    <xf numFmtId="165" fontId="21" fillId="0" borderId="12" xfId="2" applyNumberFormat="1" applyFont="1" applyFill="1" applyBorder="1" applyAlignment="1">
      <alignment horizontal="left" vertical="center" wrapText="1"/>
    </xf>
    <xf numFmtId="165" fontId="31" fillId="0" borderId="12" xfId="1" quotePrefix="1" applyNumberFormat="1" applyFont="1" applyFill="1" applyBorder="1" applyAlignment="1">
      <alignment horizontal="left" vertical="center" wrapText="1"/>
    </xf>
    <xf numFmtId="0" fontId="0" fillId="0" borderId="0" xfId="0"/>
    <xf numFmtId="49" fontId="3" fillId="0" borderId="0" xfId="1" applyNumberFormat="1" applyFont="1" applyAlignment="1">
      <alignment horizontal="left"/>
    </xf>
    <xf numFmtId="167" fontId="17" fillId="0" borderId="20" xfId="1" applyNumberFormat="1" applyFont="1" applyFill="1" applyBorder="1" applyAlignment="1">
      <alignment horizontal="center" vertical="center" wrapText="1"/>
    </xf>
    <xf numFmtId="167" fontId="17" fillId="0" borderId="21" xfId="1" applyNumberFormat="1" applyFont="1" applyFill="1" applyBorder="1" applyAlignment="1">
      <alignment horizontal="center" vertical="center" wrapText="1"/>
    </xf>
    <xf numFmtId="167" fontId="48" fillId="0" borderId="0" xfId="1" applyNumberFormat="1" applyFont="1" applyFill="1" applyBorder="1" applyAlignment="1">
      <alignment horizontal="center" vertical="center" wrapText="1"/>
    </xf>
    <xf numFmtId="165" fontId="14" fillId="0" borderId="14" xfId="2" applyNumberFormat="1" applyFont="1" applyFill="1" applyBorder="1" applyAlignment="1">
      <alignment horizontal="center" vertical="center" wrapText="1"/>
    </xf>
    <xf numFmtId="165" fontId="14" fillId="0" borderId="12" xfId="2" applyNumberFormat="1" applyFont="1" applyFill="1" applyBorder="1" applyAlignment="1">
      <alignment horizontal="center" vertical="center" wrapText="1"/>
    </xf>
    <xf numFmtId="165" fontId="48" fillId="0" borderId="12" xfId="1" applyNumberFormat="1" applyFont="1" applyFill="1" applyBorder="1" applyAlignment="1">
      <alignment horizontal="left" vertical="center" wrapText="1"/>
    </xf>
    <xf numFmtId="165" fontId="16" fillId="0" borderId="17" xfId="1" applyNumberFormat="1" applyFont="1" applyFill="1" applyBorder="1" applyAlignment="1">
      <alignment horizontal="center" vertical="center" wrapText="1"/>
    </xf>
    <xf numFmtId="165" fontId="16" fillId="0" borderId="19" xfId="1" applyNumberFormat="1" applyFont="1" applyFill="1" applyBorder="1" applyAlignment="1">
      <alignment horizontal="center" vertical="center" wrapText="1"/>
    </xf>
    <xf numFmtId="165" fontId="16" fillId="0" borderId="13" xfId="1" applyNumberFormat="1" applyFont="1" applyFill="1" applyBorder="1" applyAlignment="1">
      <alignment horizontal="center" vertical="center" wrapText="1"/>
    </xf>
    <xf numFmtId="49" fontId="38" fillId="0" borderId="0" xfId="1" applyNumberFormat="1" applyFont="1" applyFill="1" applyAlignment="1">
      <alignment horizontal="left" vertical="center" wrapText="1"/>
    </xf>
    <xf numFmtId="164" fontId="55" fillId="0" borderId="0" xfId="1" applyNumberFormat="1" applyFont="1" applyFill="1" applyAlignment="1">
      <alignment horizontal="center" vertical="center" wrapText="1"/>
    </xf>
    <xf numFmtId="164" fontId="38" fillId="0" borderId="0" xfId="1" applyNumberFormat="1" applyFont="1" applyFill="1" applyAlignment="1">
      <alignment horizontal="center" vertical="center" wrapText="1"/>
    </xf>
    <xf numFmtId="0" fontId="14" fillId="0" borderId="14" xfId="2"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6" xfId="2" applyFont="1" applyFill="1" applyBorder="1" applyAlignment="1">
      <alignment horizontal="center" vertical="center" wrapText="1"/>
    </xf>
    <xf numFmtId="0" fontId="14" fillId="0" borderId="15" xfId="2" applyFont="1" applyFill="1" applyBorder="1" applyAlignment="1">
      <alignment horizontal="center" vertical="center" wrapText="1"/>
    </xf>
    <xf numFmtId="167" fontId="7" fillId="0" borderId="36" xfId="1" applyNumberFormat="1" applyFont="1" applyFill="1" applyBorder="1" applyAlignment="1">
      <alignment horizontal="center" vertical="center" wrapText="1"/>
    </xf>
    <xf numFmtId="167" fontId="7" fillId="0" borderId="37" xfId="1" applyNumberFormat="1" applyFont="1" applyFill="1" applyBorder="1" applyAlignment="1">
      <alignment horizontal="center" vertical="center" wrapText="1"/>
    </xf>
    <xf numFmtId="165" fontId="31" fillId="7" borderId="12" xfId="1" applyNumberFormat="1" applyFont="1" applyFill="1" applyBorder="1" applyAlignment="1">
      <alignment horizontal="left" vertical="center" wrapText="1"/>
    </xf>
    <xf numFmtId="165" fontId="7" fillId="0" borderId="14" xfId="1" applyNumberFormat="1" applyFont="1" applyFill="1" applyBorder="1" applyAlignment="1">
      <alignment horizontal="center" vertical="center" wrapText="1"/>
    </xf>
    <xf numFmtId="165" fontId="7" fillId="0" borderId="12" xfId="1" applyNumberFormat="1" applyFont="1" applyFill="1" applyBorder="1" applyAlignment="1">
      <alignment horizontal="center" vertical="center" wrapText="1"/>
    </xf>
    <xf numFmtId="165" fontId="14" fillId="0" borderId="14" xfId="2" applyNumberFormat="1" applyFont="1" applyBorder="1" applyAlignment="1">
      <alignment horizontal="center" vertical="center" wrapText="1"/>
    </xf>
    <xf numFmtId="165" fontId="14" fillId="0" borderId="12" xfId="2" applyNumberFormat="1" applyFont="1" applyBorder="1" applyAlignment="1">
      <alignment horizontal="center" vertical="center" wrapText="1"/>
    </xf>
    <xf numFmtId="165" fontId="14" fillId="0" borderId="16" xfId="2" applyNumberFormat="1" applyFont="1" applyBorder="1" applyAlignment="1">
      <alignment horizontal="center" vertical="center" wrapText="1"/>
    </xf>
    <xf numFmtId="165" fontId="14" fillId="0" borderId="15" xfId="2" applyNumberFormat="1" applyFont="1" applyBorder="1" applyAlignment="1">
      <alignment horizontal="center" vertical="center" wrapText="1"/>
    </xf>
  </cellXfs>
  <cellStyles count="30">
    <cellStyle name="Normal" xfId="5"/>
    <cellStyle name="Денежный 2" xfId="6"/>
    <cellStyle name="Обычный" xfId="0" builtinId="0"/>
    <cellStyle name="Обычный 2" xfId="7"/>
    <cellStyle name="Обычный 2 2" xfId="8"/>
    <cellStyle name="Обычный 2 2 2" xfId="9"/>
    <cellStyle name="Обычный 2 2 3" xfId="10"/>
    <cellStyle name="Обычный 2 2 3 2" xfId="11"/>
    <cellStyle name="Обычный 2 2 3 2 2" xfId="12"/>
    <cellStyle name="Обычный 2 2 3 2 3" xfId="2"/>
    <cellStyle name="Обычный 3" xfId="13"/>
    <cellStyle name="Обычный 3 2" xfId="14"/>
    <cellStyle name="Обычный 3 3" xfId="15"/>
    <cellStyle name="Обычный 4" xfId="16"/>
    <cellStyle name="Обычный 4 2" xfId="17"/>
    <cellStyle name="Обычный 5" xfId="18"/>
    <cellStyle name="Обычный 6" xfId="19"/>
    <cellStyle name="Обычный 6 2" xfId="20"/>
    <cellStyle name="Обычный 6 2 2" xfId="21"/>
    <cellStyle name="Обычный 6 2 3" xfId="22"/>
    <cellStyle name="Обычный 6 2 3 2" xfId="4"/>
    <cellStyle name="Обычный 6 2 4" xfId="1"/>
    <cellStyle name="Обычный 7" xfId="23"/>
    <cellStyle name="Процентный" xfId="29" builtinId="5"/>
    <cellStyle name="Процентный 2" xfId="24"/>
    <cellStyle name="Процентный 2 2" xfId="25"/>
    <cellStyle name="Процентный 2 2 2" xfId="26"/>
    <cellStyle name="Процентный 2 2 3" xfId="3"/>
    <cellStyle name="Финансовый 2" xfId="27"/>
    <cellStyle name="Финансовый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4;&#1041;&#1040;&#1057;&#1067;_2021_2023/&#1055;&#1088;&#1086;&#1077;&#1082;&#1090;%20&#1073;&#1102;&#1076;&#1078;&#1077;&#1090;&#1072;%20&#1050;&#1086;&#1084;&#1080;&#1090;&#1077;&#1090;&#1072;_2021_2023_&#1084;&#1086;&#108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yun_muhomorova/Desktop/2021%20&#1075;&#1086;&#1076;/&#1057;&#1087;&#1088;&#1072;&#1074;&#1082;&#1072;/&#1057;&#1087;&#1088;&#1072;&#1074;&#1082;&#1072;/&#1057;&#1087;&#1088;&#1072;&#1074;&#1082;&#1072;%20&#1085;&#1072;%2001.07.2021_&#1043;&#1050;&#105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Users\Muhomorova_YuN\Desktop\2016%20&#1043;&#1054;&#1044;\&#1055;&#1056;&#1054;&#1045;&#1050;&#1058;&#1067;%20&#1041;&#1070;&#1044;&#1046;&#1045;&#1058;&#1040;%202017-2019\&#1055;&#1086;&#1089;&#1083;&#1077;&#1076;&#1085;&#1080;&#1081;%20&#1055;&#1088;&#1086;&#1077;&#1082;&#1090;%20&#1073;&#1102;&#1076;&#1078;&#1077;&#1090;&#1072;%202017&#1075;\&#1073;&#1102;&#1076;&#1078;&#1077;&#1090;%202017&#1075;.%20&#1089;%20&#1091;&#1074;&#1077;&#1083;&#1080;&#1095;&#1077;&#1085;&#1080;&#1077;&#1084;%20&#1080;%20&#1091;&#1084;&#1077;&#1085;&#1100;&#1096;&#1077;&#1085;&#1080;&#1077;&#1084;%20&#1087;&#1086;%20&#1052;&#105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yun_muhomorova/AppData/Local/Microsoft/Windows/INetCache/Content.Outlook/TBXKRGCU/&#1048;%20&#1054;%20_05%2010%2021_&#1057;&#1087;&#1088;&#1072;&#1074;&#1082;&#1072;%20&#1085;&#1072;%2001%2010%20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yun_muhomorova/Downloads/&#1055;&#1088;&#1080;&#1083;&#1086;&#1078;.&#1082;%20&#1088;&#1072;&#1089;&#1087;&#1086;&#1088;&#1103;&#1078;.&#1041;&#1044;&#1044;%20&#1080;&#1102;&#1083;&#1100;%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yun_muhomorova/Downloads/&#1055;&#1088;&#1080;&#1083;&#1086;&#1078;.&#1082;%20&#1088;&#1072;&#1089;&#1087;&#1086;&#1088;&#1103;&#1078;.&#1041;&#1044;&#1044;%20&#1080;&#1102;&#1085;&#1100;%2020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4;&#1041;&#1040;&#1057;&#1067;_2021_2023/2%20&#1095;&#1090;&#1077;&#1085;&#1080;&#1077;/&#1073;&#1077;&#1079;&#1074;&#1086;&#1079;&#1084;&#1077;&#1079;&#1076;&#1085;&#1099;&#1077;_&#1087;&#1077;&#1088;&#1077;&#1088;&#1072;&#1089;&#1087;&#1088;&#1077;&#1076;&#1077;&#1083;&#1077;&#1085;&#1080;&#1077;_&#1091;&#1074;&#1077;&#1083;&#1080;&#1095;&#1077;&#1085;&#1080;&#1077;_&#1091;&#1084;&#1077;&#1085;&#1100;&#1096;&#1077;&#1085;&#1080;&#1077;2021_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n_muhomorova/Desktop/2021%20&#1075;&#1086;&#1076;/&#1057;&#1087;&#1088;&#1072;&#1074;&#1082;&#1072;/&#1055;&#1086;&#1087;&#1088;&#1072;&#1074;&#1082;&#1080;_&#1080;&#1102;&#1083;&#1100;%202021/&#1041;&#1102;&#1076;&#1078;&#1077;&#1090;%20&#1050;&#1086;&#1084;&#1080;&#1090;&#1077;&#1090;&#1072;_&#1079;&#1072;&#1082;&#1086;&#1085;%20&#1074;%20&#1080;&#1102;&#1083;&#1077;2021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sers\Muhomorova_YuN\Desktop\2016%20&#1043;&#1054;&#1044;\&#1055;&#1056;&#1054;&#1045;&#1050;&#1058;&#1067;%20&#1041;&#1070;&#1044;&#1046;&#1045;&#1058;&#1040;%202017-2019\&#1055;&#1086;&#1089;&#1083;&#1077;&#1076;&#1085;&#1080;&#1081;%20&#1055;&#1088;&#1086;&#1077;&#1082;&#1090;%20&#1073;&#1102;&#1076;&#1078;&#1077;&#1090;&#1072;%202017&#1075;\&#1073;&#1102;&#1076;&#1078;&#1077;&#1090;%202017&#1075;.%20&#1089;%20&#1091;&#1074;&#1077;&#1083;&#1080;&#1095;&#1077;&#1085;&#1080;&#1077;&#1084;%20&#1087;&#1086;%20&#1052;&#10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ziabrina1\Downloads\&#1050;&#1086;&#1087;&#1080;&#1103;%20&#1058;&#1072;&#1073;&#1083;&#1080;&#1094;&#1072;%20&#1087;&#1086;%20&#1087;&#1086;&#1088;&#1091;&#1095;&#1077;&#1085;&#1080;&#1102;%202019-2023%2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uhomorova_YuN\Desktop\2017&#1075;\&#1041;&#1102;&#1076;&#1078;&#1077;&#1090;%202017&#1075;-2019&#1075;\&#1073;&#1102;&#1076;&#1078;&#1077;&#1090;%202017-2019%20&#1085;&#1072;%20&#1088;&#1072;&#1089;&#1089;&#1084;&#1086;&#1090;&#1088;&#1077;&#1085;&#1080;&#1077;%20&#1087;&#1088;&#1077;&#1076;&#1089;&#1077;&#1076;&#1072;&#1090;&#1077;&#1083;&#11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Users\Muhomorova_YuN\AppData\Local\Microsoft\Windows\Temporary%20Internet%20Files\Content.IE5\AYVCK8LF\&#1089;&#1086;&#1082;&#1088;&#1072;&#1097;&#1077;&#1085;&#1085;&#1072;&#1103;%20&#1074;&#1077;&#1088;&#1089;&#1080;&#1103;%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yun_muhomorova/Desktop/2021%20&#1075;&#1086;&#1076;/&#1057;&#1087;&#1088;&#1072;&#1074;&#1082;&#1072;/&#1057;&#1087;&#1088;&#1072;&#1074;&#1082;&#1072;/&#1057;&#1087;&#1088;&#1072;&#1074;&#1082;&#1072;%20&#1085;&#1072;%2001.06.2021_&#1043;&#1050;&#105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yun_muhomorova/Downloads/&#1089;&#1077;&#1085;&#1090;&#1103;&#1073;&#1088;&#1100;%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yun_muhomorova/Desktop/2021%20&#1075;&#1086;&#1076;/&#1057;&#1087;&#1088;&#1072;&#1074;&#1082;&#1072;/&#1057;&#1087;&#1088;&#1072;&#1074;&#1082;&#1072;%20&#1085;&#1072;%2001.10.2021_&#1051;&#1077;&#1085;&#1072;&#1074;&#1090;&#1086;&#1076;&#1086;&#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_2023"/>
      <sheetName val="2021_2023 Свод"/>
      <sheetName val="2021_2023 только доп.потр."/>
      <sheetName val="2021_2023 только адресная"/>
    </sheetNames>
    <sheetDataSet>
      <sheetData sheetId="0">
        <row r="225">
          <cell r="EJ225">
            <v>852734.6</v>
          </cell>
          <cell r="FV225">
            <v>937972.3</v>
          </cell>
        </row>
      </sheetData>
      <sheetData sheetId="1">
        <row r="7">
          <cell r="GQ7">
            <v>10893174</v>
          </cell>
        </row>
        <row r="280">
          <cell r="GO280">
            <v>776975.60967999999</v>
          </cell>
        </row>
      </sheetData>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refreshError="1"/>
      <sheetData sheetId="1" refreshError="1">
        <row r="671">
          <cell r="I671">
            <v>3026977.1280800002</v>
          </cell>
        </row>
        <row r="678">
          <cell r="I678">
            <v>2844810.2634200002</v>
          </cell>
        </row>
        <row r="701">
          <cell r="I701">
            <v>17182.122240000001</v>
          </cell>
        </row>
        <row r="705">
          <cell r="I705">
            <v>14033.25</v>
          </cell>
        </row>
        <row r="709">
          <cell r="I709">
            <v>56554.443359999997</v>
          </cell>
        </row>
        <row r="744">
          <cell r="N744">
            <v>12001.54895</v>
          </cell>
        </row>
        <row r="745">
          <cell r="I745">
            <v>8793.9398500000007</v>
          </cell>
        </row>
        <row r="747">
          <cell r="I747">
            <v>3752.5</v>
          </cell>
        </row>
        <row r="748">
          <cell r="I748">
            <v>5160</v>
          </cell>
        </row>
        <row r="749">
          <cell r="I749">
            <v>4899.51</v>
          </cell>
        </row>
        <row r="750">
          <cell r="I750">
            <v>14024.323110000001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с увелич по МО"/>
      <sheetName val="2017 с уменьш по МО-нет в АЦК"/>
      <sheetName val="2017 с АИП"/>
    </sheetNames>
    <sheetDataSet>
      <sheetData sheetId="0"/>
      <sheetData sheetId="1">
        <row r="145">
          <cell r="AA145">
            <v>111417.522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1июля"/>
    </sheetNames>
    <sheetDataSet>
      <sheetData sheetId="0">
        <row r="269">
          <cell r="FW269">
            <v>20089.679530000001</v>
          </cell>
          <cell r="GM269">
            <v>30212.98113</v>
          </cell>
        </row>
        <row r="331">
          <cell r="FW331">
            <v>1483.5165</v>
          </cell>
          <cell r="GM331">
            <v>2023.5165</v>
          </cell>
        </row>
        <row r="337">
          <cell r="FW337">
            <v>74485.591509999998</v>
          </cell>
          <cell r="GM337">
            <v>118807.8</v>
          </cell>
        </row>
        <row r="338">
          <cell r="FW338">
            <v>6831.81</v>
          </cell>
          <cell r="GM338">
            <v>9762.9459999999999</v>
          </cell>
        </row>
        <row r="340">
          <cell r="FW340">
            <v>172495.31615999999</v>
          </cell>
          <cell r="GM340">
            <v>142939.52007</v>
          </cell>
        </row>
        <row r="341">
          <cell r="GE341">
            <v>1.319E-2</v>
          </cell>
          <cell r="GM341">
            <v>329.7</v>
          </cell>
        </row>
        <row r="342">
          <cell r="FW342">
            <v>695.31521999999995</v>
          </cell>
          <cell r="GM342">
            <v>1024.2</v>
          </cell>
        </row>
        <row r="343">
          <cell r="GM343">
            <v>87.603260000000006</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ределение средств июль 21"/>
    </sheetNames>
    <sheetDataSet>
      <sheetData sheetId="0">
        <row r="258">
          <cell r="H258">
            <v>95761.976190000001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ределение средств январь 21"/>
    </sheetNames>
    <sheetDataSet>
      <sheetData sheetId="0">
        <row r="266">
          <cell r="I266">
            <v>5049.15524</v>
          </cell>
        </row>
        <row r="269">
          <cell r="I269">
            <v>125</v>
          </cell>
        </row>
        <row r="272">
          <cell r="I272">
            <v>1.46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езвозмездные_ФБ"/>
      <sheetName val="перераспределение"/>
      <sheetName val="увеличение "/>
      <sheetName val="уменьшение"/>
    </sheetNames>
    <sheetDataSet>
      <sheetData sheetId="0">
        <row r="8">
          <cell r="C8">
            <v>45772.800000000003</v>
          </cell>
          <cell r="D8">
            <v>53152.800000000003</v>
          </cell>
        </row>
      </sheetData>
      <sheetData sheetId="1"/>
      <sheetData sheetId="2">
        <row r="8">
          <cell r="D8">
            <v>145384.58799999999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_2023свод_оконч"/>
    </sheetNames>
    <sheetDataSet>
      <sheetData sheetId="0">
        <row r="44">
          <cell r="FD44">
            <v>14146.26561</v>
          </cell>
        </row>
        <row r="150">
          <cell r="FF150">
            <v>32246.799999999999</v>
          </cell>
        </row>
        <row r="158">
          <cell r="FF158">
            <v>15079.640020000001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_с остатком на торги"/>
      <sheetName val="2017 с увелич по МО"/>
    </sheetNames>
    <sheetDataSet>
      <sheetData sheetId="0" refreshError="1">
        <row r="29">
          <cell r="AG29">
            <v>0</v>
          </cell>
        </row>
        <row r="51">
          <cell r="AG51">
            <v>0</v>
          </cell>
        </row>
        <row r="206">
          <cell r="AG206">
            <v>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26">
          <cell r="E26">
            <v>10400.712</v>
          </cell>
        </row>
        <row r="41">
          <cell r="M41">
            <v>12988</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_с остатком на торги"/>
      <sheetName val="2018-2019 _с лимит75и50"/>
      <sheetName val="поправки2018"/>
      <sheetName val="поправки2019"/>
    </sheetNames>
    <sheetDataSet>
      <sheetData sheetId="0" refreshError="1"/>
      <sheetData sheetId="1" refreshError="1">
        <row r="132">
          <cell r="BQ132">
            <v>3129786.5060000001</v>
          </cell>
        </row>
        <row r="134">
          <cell r="BQ134">
            <v>188599.448</v>
          </cell>
        </row>
        <row r="141">
          <cell r="BQ141">
            <v>101230.618</v>
          </cell>
        </row>
        <row r="148">
          <cell r="BR148">
            <v>148761.29999999999</v>
          </cell>
        </row>
        <row r="151">
          <cell r="BR151">
            <v>100000</v>
          </cell>
        </row>
        <row r="154">
          <cell r="BQ154">
            <v>123423.428</v>
          </cell>
        </row>
        <row r="155">
          <cell r="BQ155">
            <v>100000</v>
          </cell>
        </row>
        <row r="156">
          <cell r="BQ156">
            <v>20000</v>
          </cell>
        </row>
        <row r="179">
          <cell r="BQ179">
            <v>317500</v>
          </cell>
        </row>
        <row r="216">
          <cell r="BQ216">
            <v>20000.400000000001</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20 декабря"/>
    </sheetNames>
    <sheetDataSet>
      <sheetData sheetId="0" refreshError="1">
        <row r="169">
          <cell r="Q169">
            <v>3006824.38595</v>
          </cell>
        </row>
        <row r="170">
          <cell r="Q170">
            <v>2844810.2634199997</v>
          </cell>
          <cell r="R170">
            <v>2844810.2634199997</v>
          </cell>
        </row>
        <row r="208">
          <cell r="Q208">
            <v>20647.07747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refreshError="1"/>
      <sheetData sheetId="1">
        <row r="619">
          <cell r="I619">
            <v>2844810.2634200002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sheetData sheetId="1">
        <row r="775">
          <cell r="I775">
            <v>3207338.9678700003</v>
          </cell>
          <cell r="N775">
            <v>2394474.0054900004</v>
          </cell>
        </row>
        <row r="782">
          <cell r="N782">
            <v>2220003.7619600003</v>
          </cell>
        </row>
        <row r="813">
          <cell r="N813">
            <v>1452.307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sheetData sheetId="1">
        <row r="782">
          <cell r="O782">
            <v>2219618.2419599998</v>
          </cell>
        </row>
        <row r="807">
          <cell r="O807">
            <v>162369.58794999999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O440"/>
  <sheetViews>
    <sheetView tabSelected="1" zoomScale="75" zoomScaleNormal="75" workbookViewId="0">
      <pane xSplit="45" ySplit="7" topLeftCell="AT384" activePane="bottomRight" state="frozen"/>
      <selection pane="topRight" activeCell="AT1" sqref="AT1"/>
      <selection pane="bottomLeft" activeCell="A5" sqref="A5"/>
      <selection pane="bottomRight" activeCell="A280" sqref="A280:XFD281"/>
    </sheetView>
  </sheetViews>
  <sheetFormatPr defaultRowHeight="15" x14ac:dyDescent="0.25"/>
  <cols>
    <col min="1" max="1" width="0.28515625" style="1" customWidth="1"/>
    <col min="2" max="2" width="9.42578125" style="2" customWidth="1"/>
    <col min="3" max="3" width="57.140625" style="478" customWidth="1"/>
    <col min="4" max="4" width="23.7109375" style="4" hidden="1" customWidth="1"/>
    <col min="5" max="5" width="20.28515625" style="5" hidden="1" customWidth="1"/>
    <col min="6" max="6" width="19.42578125" style="5" hidden="1" customWidth="1"/>
    <col min="7" max="7" width="12.42578125" style="5" hidden="1" customWidth="1"/>
    <col min="8" max="8" width="20.5703125" style="5" hidden="1" customWidth="1"/>
    <col min="9" max="9" width="18.5703125" style="5" hidden="1" customWidth="1"/>
    <col min="10" max="10" width="16.7109375" style="5" hidden="1" customWidth="1"/>
    <col min="11" max="11" width="20.42578125" style="5" hidden="1" customWidth="1"/>
    <col min="12" max="12" width="20.85546875" style="5" hidden="1" customWidth="1"/>
    <col min="13" max="13" width="18.5703125" style="5" hidden="1" customWidth="1"/>
    <col min="14" max="14" width="19" style="6" hidden="1" customWidth="1"/>
    <col min="15" max="15" width="18.42578125" style="6" hidden="1" customWidth="1"/>
    <col min="16" max="16" width="17.140625" style="6" hidden="1" customWidth="1"/>
    <col min="17" max="17" width="23" style="6" hidden="1" customWidth="1"/>
    <col min="18" max="18" width="20.42578125" style="6" hidden="1" customWidth="1"/>
    <col min="19" max="19" width="20.140625" style="6" hidden="1" customWidth="1"/>
    <col min="20" max="20" width="18.140625" style="5" hidden="1" customWidth="1"/>
    <col min="21" max="21" width="18.28515625" style="5" hidden="1" customWidth="1"/>
    <col min="22" max="22" width="19.7109375" style="5" hidden="1" customWidth="1"/>
    <col min="23" max="23" width="20.28515625" style="5" hidden="1" customWidth="1"/>
    <col min="24" max="24" width="18.5703125" style="5" hidden="1" customWidth="1"/>
    <col min="25" max="25" width="18.7109375" style="5" hidden="1" customWidth="1"/>
    <col min="26" max="26" width="18.140625" style="5" hidden="1" customWidth="1"/>
    <col min="27" max="27" width="16.85546875" style="5" hidden="1" customWidth="1"/>
    <col min="28" max="28" width="14.7109375" style="5" hidden="1" customWidth="1"/>
    <col min="29" max="29" width="17.140625" style="6" hidden="1" customWidth="1"/>
    <col min="30" max="30" width="14.42578125" style="5" hidden="1" customWidth="1"/>
    <col min="31" max="31" width="13.85546875" style="5" hidden="1" customWidth="1"/>
    <col min="32" max="32" width="21.28515625" style="6" hidden="1" customWidth="1"/>
    <col min="33" max="33" width="20.85546875" style="5" hidden="1" customWidth="1"/>
    <col min="34" max="34" width="18.5703125" style="5" hidden="1" customWidth="1"/>
    <col min="35" max="35" width="20.140625" style="6" hidden="1" customWidth="1"/>
    <col min="36" max="36" width="22.28515625" style="6" hidden="1" customWidth="1"/>
    <col min="37" max="38" width="27.28515625" style="6" hidden="1" customWidth="1"/>
    <col min="39" max="39" width="90.5703125" style="6" hidden="1" customWidth="1"/>
    <col min="40" max="40" width="83.5703125" style="6" hidden="1" customWidth="1"/>
    <col min="41" max="41" width="21.140625" style="6" hidden="1" customWidth="1"/>
    <col min="42" max="42" width="20" style="6" hidden="1" customWidth="1"/>
    <col min="43" max="43" width="21.7109375" style="6" hidden="1" customWidth="1"/>
    <col min="44" max="44" width="23.7109375" style="6" hidden="1" customWidth="1"/>
    <col min="45" max="45" width="19.42578125" style="5" hidden="1" customWidth="1"/>
    <col min="46" max="46" width="20.42578125" style="6" hidden="1" customWidth="1"/>
    <col min="47" max="47" width="20.140625" style="6" hidden="1" customWidth="1"/>
    <col min="48" max="48" width="15.5703125" style="5" hidden="1" customWidth="1"/>
    <col min="49" max="49" width="17.140625" style="5" hidden="1" customWidth="1"/>
    <col min="50" max="50" width="13.42578125" style="5" hidden="1" customWidth="1"/>
    <col min="51" max="51" width="20.42578125" style="5" hidden="1" customWidth="1"/>
    <col min="52" max="52" width="17.85546875" style="6" hidden="1" customWidth="1"/>
    <col min="53" max="53" width="15.42578125" style="6" hidden="1" customWidth="1"/>
    <col min="54" max="54" width="18" style="5" hidden="1" customWidth="1"/>
    <col min="55" max="55" width="18.28515625" style="5" hidden="1" customWidth="1"/>
    <col min="56" max="56" width="19.7109375" style="5" hidden="1" customWidth="1"/>
    <col min="57" max="57" width="15.5703125" style="5" hidden="1" customWidth="1"/>
    <col min="58" max="58" width="18.5703125" style="5" hidden="1" customWidth="1"/>
    <col min="59" max="59" width="16.7109375" style="5" hidden="1" customWidth="1"/>
    <col min="60" max="60" width="19.7109375" style="5" hidden="1" customWidth="1"/>
    <col min="61" max="61" width="17.85546875" style="6" hidden="1" customWidth="1"/>
    <col min="62" max="62" width="15.42578125" style="6" hidden="1" customWidth="1"/>
    <col min="63" max="63" width="12.140625" style="6" hidden="1" customWidth="1"/>
    <col min="64" max="73" width="15.85546875" style="6" hidden="1" customWidth="1"/>
    <col min="74" max="74" width="16.140625" style="5" hidden="1" customWidth="1"/>
    <col min="75" max="75" width="20.85546875" style="5" hidden="1" customWidth="1"/>
    <col min="76" max="76" width="18.5703125" style="5" hidden="1" customWidth="1"/>
    <col min="77" max="77" width="15.140625" style="5" hidden="1" customWidth="1"/>
    <col min="78" max="78" width="18.5703125" style="5" hidden="1" customWidth="1"/>
    <col min="79" max="79" width="19.140625" style="5" hidden="1" customWidth="1"/>
    <col min="80" max="80" width="21.85546875" style="5" hidden="1" customWidth="1"/>
    <col min="81" max="81" width="21.7109375" style="5" hidden="1" customWidth="1"/>
    <col min="82" max="82" width="21.5703125" style="5" hidden="1" customWidth="1"/>
    <col min="83" max="83" width="17.85546875" style="6" hidden="1" customWidth="1"/>
    <col min="84" max="84" width="21.140625" style="6" hidden="1" customWidth="1"/>
    <col min="85" max="85" width="108.42578125" style="5" hidden="1" customWidth="1"/>
    <col min="86" max="86" width="22.28515625" style="5" hidden="1" customWidth="1"/>
    <col min="87" max="87" width="20.42578125" style="6" hidden="1" customWidth="1"/>
    <col min="88" max="88" width="20.140625" style="6" hidden="1" customWidth="1"/>
    <col min="89" max="89" width="15.5703125" style="5" hidden="1" customWidth="1"/>
    <col min="90" max="90" width="17.140625" style="5" hidden="1" customWidth="1"/>
    <col min="91" max="91" width="13.42578125" style="5" hidden="1" customWidth="1"/>
    <col min="92" max="92" width="16.28515625" style="5" hidden="1" customWidth="1"/>
    <col min="93" max="94" width="22.28515625" style="5" hidden="1" customWidth="1"/>
    <col min="95" max="95" width="25.28515625" style="5" hidden="1" customWidth="1"/>
    <col min="96" max="96" width="17.5703125" style="6" hidden="1" customWidth="1"/>
    <col min="97" max="97" width="20.140625" style="6" hidden="1" customWidth="1"/>
    <col min="98" max="99" width="21.28515625" style="5" hidden="1" customWidth="1"/>
    <col min="100" max="100" width="4.42578125" style="5" hidden="1" customWidth="1"/>
    <col min="101" max="101" width="30.7109375" style="5" hidden="1" customWidth="1"/>
    <col min="102" max="102" width="25.85546875" style="5" hidden="1" customWidth="1"/>
    <col min="103" max="103" width="21.140625" style="5" hidden="1" customWidth="1"/>
    <col min="104" max="104" width="23.85546875" style="5" hidden="1" customWidth="1"/>
    <col min="105" max="105" width="23.7109375" style="6" hidden="1" customWidth="1"/>
    <col min="106" max="106" width="22" style="6" hidden="1" customWidth="1"/>
    <col min="107" max="107" width="19.7109375" style="6" hidden="1" customWidth="1"/>
    <col min="108" max="109" width="15.42578125" style="6" hidden="1" customWidth="1"/>
    <col min="110" max="110" width="25.7109375" style="6" hidden="1" customWidth="1"/>
    <col min="111" max="111" width="24.140625" style="6" hidden="1" customWidth="1"/>
    <col min="112" max="112" width="20.28515625" style="6" hidden="1" customWidth="1"/>
    <col min="113" max="113" width="28.140625" style="6" hidden="1" customWidth="1"/>
    <col min="114" max="114" width="28.28515625" style="6" hidden="1" customWidth="1"/>
    <col min="115" max="115" width="27.140625" style="6" hidden="1" customWidth="1"/>
    <col min="116" max="116" width="23" style="6" hidden="1" customWidth="1"/>
    <col min="117" max="118" width="20.5703125" style="6" hidden="1" customWidth="1"/>
    <col min="119" max="119" width="18.28515625" style="6" hidden="1" customWidth="1"/>
    <col min="120" max="120" width="19.28515625" style="6" hidden="1" customWidth="1"/>
    <col min="121" max="121" width="14.85546875" style="6" hidden="1" customWidth="1"/>
    <col min="122" max="122" width="20.42578125" style="6" hidden="1" customWidth="1"/>
    <col min="123" max="123" width="19.42578125" style="6" hidden="1" customWidth="1"/>
    <col min="124" max="124" width="21" style="6" hidden="1" customWidth="1"/>
    <col min="125" max="125" width="27" style="6" hidden="1" customWidth="1"/>
    <col min="126" max="126" width="26.42578125" style="6" hidden="1" customWidth="1"/>
    <col min="127" max="127" width="19.7109375" style="6" hidden="1" customWidth="1"/>
    <col min="128" max="128" width="23.85546875" style="5" hidden="1" customWidth="1"/>
    <col min="129" max="129" width="22.7109375" style="6" hidden="1" customWidth="1"/>
    <col min="130" max="130" width="22.28515625" style="6" hidden="1" customWidth="1"/>
    <col min="131" max="131" width="23" style="6" hidden="1" customWidth="1"/>
    <col min="132" max="133" width="17.28515625" style="6" hidden="1" customWidth="1"/>
    <col min="134" max="134" width="23.5703125" style="6" hidden="1" customWidth="1"/>
    <col min="135" max="135" width="22" style="6" hidden="1" customWidth="1"/>
    <col min="136" max="136" width="17.28515625" style="6" hidden="1" customWidth="1"/>
    <col min="137" max="137" width="24.140625" style="6" hidden="1" customWidth="1"/>
    <col min="138" max="138" width="31.140625" style="6" hidden="1" customWidth="1"/>
    <col min="139" max="139" width="24" style="6" hidden="1" customWidth="1"/>
    <col min="140" max="140" width="22.85546875" style="459" hidden="1" customWidth="1"/>
    <col min="141" max="141" width="20.7109375" style="6" hidden="1" customWidth="1"/>
    <col min="142" max="142" width="24.28515625" style="6" hidden="1" customWidth="1"/>
    <col min="143" max="143" width="18.28515625" style="6" hidden="1" customWidth="1"/>
    <col min="144" max="144" width="19.5703125" style="6" hidden="1" customWidth="1"/>
    <col min="145" max="145" width="21.7109375" style="6" hidden="1" customWidth="1"/>
    <col min="146" max="146" width="20.42578125" style="6" hidden="1" customWidth="1"/>
    <col min="147" max="147" width="17.7109375" style="6" hidden="1" customWidth="1"/>
    <col min="148" max="148" width="19.5703125" style="6" hidden="1" customWidth="1"/>
    <col min="149" max="149" width="24.85546875" style="6" hidden="1" customWidth="1"/>
    <col min="150" max="150" width="27.7109375" style="6" hidden="1" customWidth="1"/>
    <col min="151" max="151" width="18.28515625" style="6" hidden="1" customWidth="1"/>
    <col min="152" max="152" width="20.7109375" style="6" hidden="1" customWidth="1"/>
    <col min="153" max="153" width="24.28515625" style="6" hidden="1" customWidth="1"/>
    <col min="154" max="158" width="23.42578125" style="6" hidden="1" customWidth="1"/>
    <col min="159" max="159" width="30.42578125" style="6" customWidth="1"/>
    <col min="160" max="160" width="25" style="6" hidden="1" customWidth="1"/>
    <col min="161" max="161" width="22.5703125" style="6" hidden="1" customWidth="1"/>
    <col min="162" max="162" width="22.7109375" style="6" hidden="1" customWidth="1"/>
    <col min="163" max="163" width="25.140625" style="6" hidden="1" customWidth="1"/>
    <col min="164" max="164" width="23.7109375" style="6" hidden="1" customWidth="1"/>
    <col min="165" max="165" width="16.140625" style="6" hidden="1" customWidth="1"/>
    <col min="166" max="166" width="22.140625" style="6" hidden="1" customWidth="1"/>
    <col min="167" max="167" width="25.140625" style="6" hidden="1" customWidth="1"/>
    <col min="168" max="168" width="20.42578125" style="6" hidden="1" customWidth="1"/>
    <col min="169" max="169" width="21.140625" style="6" hidden="1" customWidth="1"/>
    <col min="170" max="170" width="23.42578125" style="6" hidden="1" customWidth="1"/>
    <col min="171" max="171" width="25.28515625" style="6" hidden="1" customWidth="1"/>
    <col min="172" max="172" width="26.85546875" style="6" hidden="1" customWidth="1"/>
    <col min="173" max="173" width="22.42578125" style="6" hidden="1" customWidth="1"/>
    <col min="174" max="174" width="22.85546875" style="6" hidden="1" customWidth="1"/>
    <col min="175" max="175" width="24.42578125" style="6" hidden="1" customWidth="1"/>
    <col min="176" max="176" width="13" style="6" hidden="1" customWidth="1"/>
    <col min="177" max="177" width="25" style="6" hidden="1" customWidth="1"/>
    <col min="178" max="178" width="15.28515625" style="6" hidden="1" customWidth="1"/>
    <col min="179" max="179" width="23.140625" style="6" hidden="1" customWidth="1"/>
    <col min="180" max="180" width="14.28515625" style="6" hidden="1" customWidth="1"/>
    <col min="181" max="181" width="22.85546875" style="6" hidden="1" customWidth="1"/>
    <col min="182" max="182" width="12.140625" style="6" hidden="1" customWidth="1"/>
    <col min="183" max="183" width="29.42578125" style="6" customWidth="1"/>
    <col min="184" max="184" width="20.5703125" style="6" customWidth="1"/>
    <col min="185" max="185" width="29.5703125" style="6" hidden="1" customWidth="1"/>
    <col min="186" max="186" width="13.7109375" style="6" hidden="1" customWidth="1"/>
    <col min="187" max="187" width="28.85546875" style="6" hidden="1" customWidth="1"/>
    <col min="188" max="188" width="14.85546875" style="6" hidden="1" customWidth="1"/>
    <col min="189" max="189" width="20.5703125" style="6" hidden="1" customWidth="1"/>
    <col min="190" max="190" width="14.85546875" style="6" hidden="1" customWidth="1"/>
    <col min="191" max="191" width="25.42578125" style="6" hidden="1" customWidth="1"/>
    <col min="192" max="192" width="12.42578125" style="6" hidden="1" customWidth="1"/>
    <col min="193" max="193" width="25" style="6" hidden="1" customWidth="1"/>
    <col min="194" max="194" width="13.7109375" style="6" hidden="1" customWidth="1"/>
    <col min="195" max="195" width="20.7109375" style="6" hidden="1" customWidth="1"/>
    <col min="196" max="196" width="14.28515625" style="6" hidden="1" customWidth="1"/>
    <col min="197" max="197" width="22.85546875" style="6" hidden="1" customWidth="1"/>
    <col min="198" max="198" width="12.7109375" style="6" hidden="1" customWidth="1"/>
    <col min="199" max="202" width="22.85546875" style="6" hidden="1" customWidth="1"/>
    <col min="203" max="204" width="25" style="6" hidden="1" customWidth="1"/>
    <col min="205" max="205" width="27.42578125" style="6" hidden="1" customWidth="1"/>
    <col min="206" max="206" width="23" style="6" hidden="1" customWidth="1"/>
    <col min="207" max="214" width="18.42578125" style="6" hidden="1" customWidth="1"/>
    <col min="215" max="215" width="23" style="6" hidden="1" customWidth="1"/>
    <col min="216" max="216" width="24" style="6" hidden="1" customWidth="1"/>
    <col min="217" max="217" width="18.7109375" style="6" hidden="1" customWidth="1"/>
    <col min="218" max="218" width="21.5703125" style="6" hidden="1" customWidth="1"/>
    <col min="219" max="219" width="24.28515625" style="6" hidden="1" customWidth="1"/>
    <col min="220" max="220" width="24.85546875" style="6" hidden="1" customWidth="1"/>
    <col min="221" max="221" width="18.42578125" style="6" hidden="1" customWidth="1"/>
    <col min="222" max="222" width="20.7109375" style="6" hidden="1" customWidth="1"/>
    <col min="223" max="223" width="24.140625" style="6" hidden="1" customWidth="1"/>
    <col min="224" max="224" width="26.5703125" style="6" hidden="1" customWidth="1"/>
    <col min="225" max="225" width="20.28515625" style="6" hidden="1" customWidth="1"/>
    <col min="226" max="226" width="26.7109375" style="6" hidden="1" customWidth="1"/>
    <col min="227" max="227" width="26" style="6" hidden="1" customWidth="1"/>
    <col min="228" max="228" width="25" style="6" hidden="1" customWidth="1"/>
    <col min="229" max="229" width="21.42578125" style="6" hidden="1" customWidth="1"/>
    <col min="230" max="230" width="28" style="6" hidden="1" customWidth="1"/>
    <col min="231" max="231" width="24.28515625" style="6" hidden="1" customWidth="1"/>
    <col min="232" max="232" width="24.85546875" style="6" hidden="1" customWidth="1"/>
    <col min="233" max="233" width="18.42578125" style="6" hidden="1" customWidth="1"/>
    <col min="234" max="234" width="25.85546875" style="6" hidden="1" customWidth="1"/>
    <col min="235" max="235" width="24.7109375" style="6" hidden="1" customWidth="1"/>
    <col min="236" max="236" width="25" style="6" hidden="1" customWidth="1"/>
    <col min="237" max="237" width="23" style="6" hidden="1" customWidth="1"/>
    <col min="238" max="238" width="23.28515625" style="6" hidden="1" customWidth="1"/>
    <col min="239" max="239" width="108.42578125" style="10" hidden="1" customWidth="1"/>
    <col min="240" max="242" width="108.42578125" style="11" hidden="1" customWidth="1"/>
    <col min="243" max="243" width="9.140625" style="12" hidden="1" customWidth="1"/>
    <col min="244" max="244" width="14" style="12" hidden="1" customWidth="1"/>
    <col min="245" max="249" width="9.140625" style="12" customWidth="1"/>
    <col min="250" max="250" width="9.140625" style="1" customWidth="1"/>
    <col min="251" max="16384" width="9.140625" style="1"/>
  </cols>
  <sheetData>
    <row r="1" spans="1:249" ht="21" hidden="1" customHeight="1" x14ac:dyDescent="0.35">
      <c r="C1" s="3"/>
      <c r="EG1" s="3"/>
      <c r="EH1" s="3"/>
      <c r="EI1" s="3"/>
      <c r="EJ1" s="3"/>
      <c r="EK1" s="7"/>
      <c r="EL1" s="3"/>
      <c r="EO1" s="8"/>
      <c r="ES1" s="3"/>
      <c r="FC1" s="3"/>
      <c r="FD1" s="3"/>
      <c r="FK1" s="8"/>
      <c r="FO1" s="3"/>
      <c r="FP1" s="9"/>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v>13590586.699999999</v>
      </c>
      <c r="GV1" s="3" t="e">
        <f>GU1-GU2</f>
        <v>#REF!</v>
      </c>
      <c r="HP1" s="9"/>
      <c r="HS1" s="3">
        <f>10893174</f>
        <v>10893174</v>
      </c>
      <c r="HT1" s="3" t="e">
        <f>HS2-HS1</f>
        <v>#REF!</v>
      </c>
      <c r="HU1" s="3"/>
      <c r="IA1" s="3" t="e">
        <f>'[1]2021_2023 Свод'!$GQ$7-IA8</f>
        <v>#REF!</v>
      </c>
      <c r="IB1" s="3"/>
    </row>
    <row r="2" spans="1:249" ht="21" hidden="1" customHeight="1" x14ac:dyDescent="0.35">
      <c r="C2" s="3"/>
      <c r="EG2" s="3"/>
      <c r="EH2" s="3"/>
      <c r="EI2" s="3"/>
      <c r="EJ2" s="3"/>
      <c r="EK2" s="7"/>
      <c r="EL2" s="3"/>
      <c r="EO2" s="8"/>
      <c r="ES2" s="3"/>
      <c r="FC2" s="3"/>
      <c r="FD2" s="3"/>
      <c r="FK2" s="8"/>
      <c r="FO2" s="3"/>
      <c r="FP2" s="9"/>
      <c r="GU2" s="3" t="e">
        <f>GU11+GU15+HK11</f>
        <v>#REF!</v>
      </c>
      <c r="GV2" s="3"/>
      <c r="HP2" s="9"/>
      <c r="HS2" s="3" t="e">
        <f>HS11+HS15</f>
        <v>#REF!</v>
      </c>
      <c r="HT2" s="3"/>
      <c r="IA2" s="3"/>
      <c r="IB2" s="3"/>
    </row>
    <row r="3" spans="1:249" ht="21" customHeight="1" x14ac:dyDescent="0.35">
      <c r="C3" s="3"/>
      <c r="EG3" s="3"/>
      <c r="EH3" s="3"/>
      <c r="EI3" s="3"/>
      <c r="EJ3" s="3"/>
      <c r="EK3" s="7"/>
      <c r="EL3" s="3"/>
      <c r="EO3" s="8"/>
      <c r="ES3" s="3"/>
      <c r="FC3" s="3"/>
      <c r="FD3" s="3"/>
      <c r="FE3" s="9"/>
      <c r="FF3" s="13"/>
      <c r="FG3" s="14"/>
      <c r="FH3" s="14" t="e">
        <f>FG8-FG10</f>
        <v>#REF!</v>
      </c>
      <c r="FK3" s="8"/>
      <c r="FO3" s="3"/>
      <c r="FP3" s="9"/>
      <c r="FU3" s="9"/>
      <c r="GU3" s="3"/>
      <c r="GV3" s="3"/>
      <c r="HP3" s="9"/>
      <c r="HS3" s="3"/>
      <c r="HT3" s="3"/>
      <c r="IA3" s="3"/>
      <c r="IB3" s="3"/>
      <c r="IH3" s="453"/>
    </row>
    <row r="4" spans="1:249" ht="72" customHeight="1" thickBot="1" x14ac:dyDescent="0.3">
      <c r="A4" s="15"/>
      <c r="B4" s="698" t="s">
        <v>531</v>
      </c>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698"/>
      <c r="AV4" s="698"/>
      <c r="AW4" s="698"/>
      <c r="AX4" s="698"/>
      <c r="AY4" s="698"/>
      <c r="AZ4" s="698"/>
      <c r="BA4" s="698"/>
      <c r="BB4" s="698"/>
      <c r="BC4" s="698"/>
      <c r="BD4" s="698"/>
      <c r="BE4" s="698"/>
      <c r="BF4" s="698"/>
      <c r="BG4" s="698"/>
      <c r="BH4" s="698"/>
      <c r="BI4" s="698"/>
      <c r="BJ4" s="698"/>
      <c r="BK4" s="698"/>
      <c r="BL4" s="698"/>
      <c r="BM4" s="698"/>
      <c r="BN4" s="698"/>
      <c r="BO4" s="698"/>
      <c r="BP4" s="698"/>
      <c r="BQ4" s="698"/>
      <c r="BR4" s="698"/>
      <c r="BS4" s="698"/>
      <c r="BT4" s="698"/>
      <c r="BU4" s="698"/>
      <c r="BV4" s="698"/>
      <c r="BW4" s="698"/>
      <c r="BX4" s="698"/>
      <c r="BY4" s="698"/>
      <c r="BZ4" s="698"/>
      <c r="CA4" s="698"/>
      <c r="CB4" s="698"/>
      <c r="CC4" s="698"/>
      <c r="CD4" s="698"/>
      <c r="CE4" s="698"/>
      <c r="CF4" s="698"/>
      <c r="CG4" s="698"/>
      <c r="CH4" s="698"/>
      <c r="CI4" s="698"/>
      <c r="CJ4" s="698"/>
      <c r="CK4" s="698"/>
      <c r="CL4" s="698"/>
      <c r="CM4" s="698"/>
      <c r="CN4" s="698"/>
      <c r="CO4" s="698"/>
      <c r="CP4" s="698"/>
      <c r="CQ4" s="698"/>
      <c r="CR4" s="698"/>
      <c r="CS4" s="698"/>
      <c r="CT4" s="698"/>
      <c r="CU4" s="698"/>
      <c r="CV4" s="698"/>
      <c r="CW4" s="698"/>
      <c r="CX4" s="698"/>
      <c r="CY4" s="698"/>
      <c r="CZ4" s="698"/>
      <c r="DA4" s="698"/>
      <c r="DB4" s="698"/>
      <c r="DC4" s="698"/>
      <c r="DD4" s="698"/>
      <c r="DE4" s="698"/>
      <c r="DF4" s="698"/>
      <c r="DG4" s="698"/>
      <c r="DH4" s="698"/>
      <c r="DI4" s="698"/>
      <c r="DJ4" s="698"/>
      <c r="DK4" s="698"/>
      <c r="DL4" s="698"/>
      <c r="DM4" s="698"/>
      <c r="DN4" s="698"/>
      <c r="DO4" s="698"/>
      <c r="DP4" s="698"/>
      <c r="DQ4" s="698"/>
      <c r="DR4" s="698"/>
      <c r="DS4" s="698"/>
      <c r="DT4" s="698"/>
      <c r="DU4" s="698"/>
      <c r="DV4" s="698"/>
      <c r="DW4" s="698"/>
      <c r="DX4" s="698"/>
      <c r="DY4" s="698"/>
      <c r="DZ4" s="698"/>
      <c r="EA4" s="698"/>
      <c r="EB4" s="698"/>
      <c r="EC4" s="698"/>
      <c r="ED4" s="698"/>
      <c r="EE4" s="698"/>
      <c r="EF4" s="698"/>
      <c r="EG4" s="698"/>
      <c r="EH4" s="698"/>
      <c r="EI4" s="698"/>
      <c r="EJ4" s="698"/>
      <c r="EK4" s="698"/>
      <c r="EL4" s="698"/>
      <c r="EM4" s="698"/>
      <c r="EN4" s="698"/>
      <c r="EO4" s="698"/>
      <c r="EP4" s="698"/>
      <c r="EQ4" s="698"/>
      <c r="ER4" s="698"/>
      <c r="ES4" s="698"/>
      <c r="ET4" s="698"/>
      <c r="EU4" s="698"/>
      <c r="EV4" s="698"/>
      <c r="EW4" s="698"/>
      <c r="EX4" s="698"/>
      <c r="EY4" s="698"/>
      <c r="EZ4" s="698"/>
      <c r="FA4" s="698"/>
      <c r="FB4" s="698"/>
      <c r="FC4" s="698"/>
      <c r="FD4" s="698"/>
      <c r="FE4" s="698"/>
      <c r="FF4" s="698"/>
      <c r="FG4" s="698"/>
      <c r="FH4" s="698"/>
      <c r="FI4" s="698"/>
      <c r="FJ4" s="698"/>
      <c r="FK4" s="698"/>
      <c r="FL4" s="698"/>
      <c r="FM4" s="698"/>
      <c r="FN4" s="698"/>
      <c r="FO4" s="698"/>
      <c r="FP4" s="698"/>
      <c r="FQ4" s="698"/>
      <c r="FR4" s="698"/>
      <c r="FS4" s="698"/>
      <c r="FT4" s="698"/>
      <c r="FU4" s="698"/>
      <c r="FV4" s="698"/>
      <c r="FW4" s="698"/>
      <c r="FX4" s="698"/>
      <c r="FY4" s="698"/>
      <c r="FZ4" s="698"/>
      <c r="GA4" s="698"/>
      <c r="GB4" s="698"/>
      <c r="GC4" s="698"/>
      <c r="GD4" s="698"/>
      <c r="GE4" s="698"/>
      <c r="GF4" s="698"/>
      <c r="GG4" s="698"/>
      <c r="GH4" s="698"/>
      <c r="GI4" s="698"/>
      <c r="GJ4" s="698"/>
      <c r="GK4" s="698"/>
      <c r="GL4" s="698"/>
      <c r="GM4" s="698"/>
      <c r="GN4" s="698"/>
      <c r="GO4" s="698"/>
      <c r="GP4" s="698"/>
      <c r="GQ4" s="698"/>
      <c r="GR4" s="698"/>
      <c r="GS4" s="698"/>
      <c r="GT4" s="698"/>
      <c r="GU4" s="698"/>
      <c r="GV4" s="698"/>
      <c r="GW4" s="698"/>
      <c r="GX4" s="698"/>
      <c r="GY4" s="698"/>
      <c r="GZ4" s="698"/>
      <c r="HA4" s="698"/>
      <c r="HB4" s="698"/>
      <c r="HC4" s="698"/>
      <c r="HD4" s="698"/>
      <c r="HE4" s="698"/>
      <c r="HF4" s="698"/>
      <c r="HG4" s="698"/>
      <c r="HH4" s="698"/>
      <c r="HI4" s="698"/>
      <c r="HJ4" s="698"/>
      <c r="HK4" s="698"/>
      <c r="HL4" s="698"/>
      <c r="HM4" s="698"/>
      <c r="HN4" s="698"/>
      <c r="HO4" s="698"/>
      <c r="HP4" s="698"/>
      <c r="HQ4" s="698"/>
      <c r="HR4" s="698"/>
      <c r="HS4" s="698"/>
      <c r="HT4" s="698"/>
      <c r="HU4" s="698"/>
      <c r="HV4" s="698"/>
      <c r="HW4" s="698"/>
      <c r="HX4" s="698"/>
      <c r="HY4" s="698"/>
      <c r="HZ4" s="698"/>
      <c r="IA4" s="698"/>
      <c r="IB4" s="698"/>
      <c r="IC4" s="698"/>
      <c r="ID4" s="698"/>
      <c r="IE4" s="698"/>
      <c r="IF4" s="16"/>
      <c r="IG4" s="16"/>
      <c r="IH4" s="16"/>
    </row>
    <row r="5" spans="1:249" s="23" customFormat="1" ht="105" customHeight="1" x14ac:dyDescent="0.35">
      <c r="A5" s="17" t="s">
        <v>0</v>
      </c>
      <c r="B5" s="699" t="s">
        <v>0</v>
      </c>
      <c r="C5" s="701" t="s">
        <v>1</v>
      </c>
      <c r="D5" s="18" t="s">
        <v>2</v>
      </c>
      <c r="E5" s="703" t="s">
        <v>3</v>
      </c>
      <c r="F5" s="21" t="s">
        <v>4</v>
      </c>
      <c r="G5" s="21"/>
      <c r="H5" s="703" t="s">
        <v>5</v>
      </c>
      <c r="I5" s="21" t="s">
        <v>4</v>
      </c>
      <c r="J5" s="21"/>
      <c r="K5" s="703" t="s">
        <v>6</v>
      </c>
      <c r="L5" s="21" t="s">
        <v>4</v>
      </c>
      <c r="M5" s="21"/>
      <c r="N5" s="703" t="s">
        <v>7</v>
      </c>
      <c r="O5" s="21" t="s">
        <v>4</v>
      </c>
      <c r="P5" s="21"/>
      <c r="Q5" s="703" t="s">
        <v>8</v>
      </c>
      <c r="R5" s="21" t="s">
        <v>4</v>
      </c>
      <c r="S5" s="21"/>
      <c r="T5" s="703" t="s">
        <v>9</v>
      </c>
      <c r="U5" s="21" t="s">
        <v>4</v>
      </c>
      <c r="V5" s="21"/>
      <c r="W5" s="703" t="s">
        <v>10</v>
      </c>
      <c r="X5" s="21" t="s">
        <v>4</v>
      </c>
      <c r="Y5" s="21"/>
      <c r="Z5" s="703" t="s">
        <v>11</v>
      </c>
      <c r="AA5" s="708" t="s">
        <v>4</v>
      </c>
      <c r="AB5" s="709"/>
      <c r="AC5" s="703" t="s">
        <v>12</v>
      </c>
      <c r="AD5" s="708" t="s">
        <v>4</v>
      </c>
      <c r="AE5" s="709"/>
      <c r="AF5" s="703" t="s">
        <v>13</v>
      </c>
      <c r="AG5" s="708" t="s">
        <v>4</v>
      </c>
      <c r="AH5" s="709"/>
      <c r="AI5" s="703" t="s">
        <v>14</v>
      </c>
      <c r="AJ5" s="703" t="s">
        <v>15</v>
      </c>
      <c r="AK5" s="703" t="s">
        <v>16</v>
      </c>
      <c r="AL5" s="703" t="s">
        <v>17</v>
      </c>
      <c r="AM5" s="703" t="s">
        <v>18</v>
      </c>
      <c r="AN5" s="703" t="s">
        <v>19</v>
      </c>
      <c r="AO5" s="21" t="s">
        <v>20</v>
      </c>
      <c r="AP5" s="703" t="s">
        <v>15</v>
      </c>
      <c r="AQ5" s="703" t="s">
        <v>21</v>
      </c>
      <c r="AR5" s="703" t="s">
        <v>22</v>
      </c>
      <c r="AS5" s="703" t="s">
        <v>23</v>
      </c>
      <c r="AT5" s="708" t="s">
        <v>4</v>
      </c>
      <c r="AU5" s="709"/>
      <c r="AV5" s="703" t="s">
        <v>24</v>
      </c>
      <c r="AW5" s="708" t="s">
        <v>4</v>
      </c>
      <c r="AX5" s="709"/>
      <c r="AY5" s="703" t="s">
        <v>25</v>
      </c>
      <c r="AZ5" s="708" t="s">
        <v>4</v>
      </c>
      <c r="BA5" s="709"/>
      <c r="BB5" s="703" t="s">
        <v>26</v>
      </c>
      <c r="BC5" s="21" t="s">
        <v>4</v>
      </c>
      <c r="BD5" s="21"/>
      <c r="BE5" s="703" t="s">
        <v>27</v>
      </c>
      <c r="BF5" s="708" t="s">
        <v>4</v>
      </c>
      <c r="BG5" s="709"/>
      <c r="BH5" s="703" t="s">
        <v>28</v>
      </c>
      <c r="BI5" s="708" t="s">
        <v>4</v>
      </c>
      <c r="BJ5" s="709"/>
      <c r="BK5" s="708" t="s">
        <v>29</v>
      </c>
      <c r="BL5" s="709"/>
      <c r="BM5" s="703" t="s">
        <v>30</v>
      </c>
      <c r="BN5" s="708" t="s">
        <v>4</v>
      </c>
      <c r="BO5" s="709"/>
      <c r="BP5" s="703" t="s">
        <v>31</v>
      </c>
      <c r="BQ5" s="708" t="s">
        <v>4</v>
      </c>
      <c r="BR5" s="709"/>
      <c r="BS5" s="703" t="s">
        <v>32</v>
      </c>
      <c r="BT5" s="708" t="s">
        <v>4</v>
      </c>
      <c r="BU5" s="709"/>
      <c r="BV5" s="703" t="s">
        <v>23</v>
      </c>
      <c r="BW5" s="708" t="s">
        <v>4</v>
      </c>
      <c r="BX5" s="709"/>
      <c r="BY5" s="703" t="s">
        <v>33</v>
      </c>
      <c r="BZ5" s="708" t="s">
        <v>4</v>
      </c>
      <c r="CA5" s="709"/>
      <c r="CB5" s="703" t="s">
        <v>34</v>
      </c>
      <c r="CC5" s="708" t="s">
        <v>4</v>
      </c>
      <c r="CD5" s="709"/>
      <c r="CE5" s="708" t="s">
        <v>35</v>
      </c>
      <c r="CF5" s="709"/>
      <c r="CG5" s="703" t="s">
        <v>36</v>
      </c>
      <c r="CH5" s="703" t="s">
        <v>37</v>
      </c>
      <c r="CI5" s="708" t="s">
        <v>4</v>
      </c>
      <c r="CJ5" s="709"/>
      <c r="CK5" s="703" t="s">
        <v>12</v>
      </c>
      <c r="CL5" s="708" t="s">
        <v>4</v>
      </c>
      <c r="CM5" s="709"/>
      <c r="CN5" s="703" t="s">
        <v>38</v>
      </c>
      <c r="CO5" s="708" t="s">
        <v>4</v>
      </c>
      <c r="CP5" s="709"/>
      <c r="CQ5" s="703" t="s">
        <v>39</v>
      </c>
      <c r="CR5" s="708" t="s">
        <v>4</v>
      </c>
      <c r="CS5" s="709"/>
      <c r="CT5" s="703" t="s">
        <v>40</v>
      </c>
      <c r="CU5" s="708" t="s">
        <v>4</v>
      </c>
      <c r="CV5" s="709"/>
      <c r="CW5" s="703" t="s">
        <v>41</v>
      </c>
      <c r="CX5" s="708" t="s">
        <v>4</v>
      </c>
      <c r="CY5" s="709"/>
      <c r="CZ5" s="703" t="s">
        <v>42</v>
      </c>
      <c r="DA5" s="708" t="s">
        <v>4</v>
      </c>
      <c r="DB5" s="709"/>
      <c r="DC5" s="703" t="s">
        <v>43</v>
      </c>
      <c r="DD5" s="708" t="s">
        <v>4</v>
      </c>
      <c r="DE5" s="709"/>
      <c r="DF5" s="703" t="s">
        <v>44</v>
      </c>
      <c r="DG5" s="708" t="s">
        <v>4</v>
      </c>
      <c r="DH5" s="709"/>
      <c r="DI5" s="703" t="s">
        <v>45</v>
      </c>
      <c r="DJ5" s="708" t="s">
        <v>4</v>
      </c>
      <c r="DK5" s="709"/>
      <c r="DL5" s="703" t="s">
        <v>46</v>
      </c>
      <c r="DM5" s="708" t="s">
        <v>4</v>
      </c>
      <c r="DN5" s="709"/>
      <c r="DO5" s="703" t="s">
        <v>47</v>
      </c>
      <c r="DP5" s="708" t="s">
        <v>4</v>
      </c>
      <c r="DQ5" s="709"/>
      <c r="DR5" s="703" t="s">
        <v>48</v>
      </c>
      <c r="DS5" s="708" t="s">
        <v>4</v>
      </c>
      <c r="DT5" s="709"/>
      <c r="DU5" s="703" t="s">
        <v>49</v>
      </c>
      <c r="DV5" s="708" t="s">
        <v>4</v>
      </c>
      <c r="DW5" s="709"/>
      <c r="DX5" s="703" t="s">
        <v>42</v>
      </c>
      <c r="DY5" s="708" t="s">
        <v>4</v>
      </c>
      <c r="DZ5" s="709"/>
      <c r="EA5" s="703" t="s">
        <v>50</v>
      </c>
      <c r="EB5" s="708" t="s">
        <v>4</v>
      </c>
      <c r="EC5" s="709"/>
      <c r="ED5" s="703" t="s">
        <v>51</v>
      </c>
      <c r="EE5" s="708" t="s">
        <v>4</v>
      </c>
      <c r="EF5" s="709"/>
      <c r="EG5" s="711" t="s">
        <v>52</v>
      </c>
      <c r="EH5" s="708" t="s">
        <v>4</v>
      </c>
      <c r="EI5" s="713"/>
      <c r="EJ5" s="709"/>
      <c r="EK5" s="703" t="s">
        <v>53</v>
      </c>
      <c r="EL5" s="708" t="s">
        <v>4</v>
      </c>
      <c r="EM5" s="713"/>
      <c r="EN5" s="709"/>
      <c r="EO5" s="703" t="s">
        <v>54</v>
      </c>
      <c r="EP5" s="708" t="s">
        <v>4</v>
      </c>
      <c r="EQ5" s="713"/>
      <c r="ER5" s="709"/>
      <c r="ES5" s="714" t="s">
        <v>55</v>
      </c>
      <c r="ET5" s="708" t="s">
        <v>4</v>
      </c>
      <c r="EU5" s="713"/>
      <c r="EV5" s="709"/>
      <c r="EW5" s="703" t="s">
        <v>56</v>
      </c>
      <c r="EX5" s="708" t="s">
        <v>4</v>
      </c>
      <c r="EY5" s="709"/>
      <c r="EZ5" s="703" t="s">
        <v>57</v>
      </c>
      <c r="FA5" s="708" t="s">
        <v>4</v>
      </c>
      <c r="FB5" s="709"/>
      <c r="FC5" s="696" t="s">
        <v>511</v>
      </c>
      <c r="FD5" s="708" t="s">
        <v>4</v>
      </c>
      <c r="FE5" s="713"/>
      <c r="FF5" s="709"/>
      <c r="FG5" s="703" t="s">
        <v>58</v>
      </c>
      <c r="FH5" s="708" t="s">
        <v>4</v>
      </c>
      <c r="FI5" s="713"/>
      <c r="FJ5" s="709"/>
      <c r="FK5" s="703" t="s">
        <v>59</v>
      </c>
      <c r="FL5" s="708" t="s">
        <v>4</v>
      </c>
      <c r="FM5" s="713"/>
      <c r="FN5" s="709"/>
      <c r="FO5" s="724" t="s">
        <v>60</v>
      </c>
      <c r="FP5" s="708" t="s">
        <v>4</v>
      </c>
      <c r="FQ5" s="713"/>
      <c r="FR5" s="709"/>
      <c r="FS5" s="696" t="s">
        <v>527</v>
      </c>
      <c r="FT5" s="696" t="s">
        <v>464</v>
      </c>
      <c r="FU5" s="710" t="s">
        <v>4</v>
      </c>
      <c r="FV5" s="710"/>
      <c r="FW5" s="710"/>
      <c r="FX5" s="710"/>
      <c r="FY5" s="710"/>
      <c r="FZ5" s="710"/>
      <c r="GA5" s="696" t="s">
        <v>526</v>
      </c>
      <c r="GB5" s="696" t="s">
        <v>464</v>
      </c>
      <c r="GC5" s="705" t="s">
        <v>4</v>
      </c>
      <c r="GD5" s="706"/>
      <c r="GE5" s="706"/>
      <c r="GF5" s="706"/>
      <c r="GG5" s="706"/>
      <c r="GH5" s="707"/>
      <c r="GI5" s="696" t="s">
        <v>478</v>
      </c>
      <c r="GJ5" s="696" t="s">
        <v>464</v>
      </c>
      <c r="GK5" s="705" t="s">
        <v>4</v>
      </c>
      <c r="GL5" s="706"/>
      <c r="GM5" s="706"/>
      <c r="GN5" s="706"/>
      <c r="GO5" s="706"/>
      <c r="GP5" s="707"/>
      <c r="GQ5" s="490"/>
      <c r="GR5" s="490"/>
      <c r="GS5" s="20"/>
      <c r="GT5" s="20"/>
      <c r="GU5" s="724" t="s">
        <v>61</v>
      </c>
      <c r="GV5" s="708" t="s">
        <v>4</v>
      </c>
      <c r="GW5" s="713"/>
      <c r="GX5" s="709"/>
      <c r="GY5" s="19"/>
      <c r="GZ5" s="19"/>
      <c r="HA5" s="19"/>
      <c r="HB5" s="19"/>
      <c r="HC5" s="19"/>
      <c r="HD5" s="19"/>
      <c r="HE5" s="19"/>
      <c r="HF5" s="19"/>
      <c r="HG5" s="703" t="s">
        <v>62</v>
      </c>
      <c r="HH5" s="708" t="s">
        <v>4</v>
      </c>
      <c r="HI5" s="713"/>
      <c r="HJ5" s="709"/>
      <c r="HK5" s="727" t="s">
        <v>63</v>
      </c>
      <c r="HL5" s="708" t="s">
        <v>4</v>
      </c>
      <c r="HM5" s="713"/>
      <c r="HN5" s="709"/>
      <c r="HO5" s="724" t="s">
        <v>61</v>
      </c>
      <c r="HP5" s="708" t="s">
        <v>4</v>
      </c>
      <c r="HQ5" s="713"/>
      <c r="HR5" s="709"/>
      <c r="HS5" s="724" t="s">
        <v>64</v>
      </c>
      <c r="HT5" s="708" t="s">
        <v>4</v>
      </c>
      <c r="HU5" s="713"/>
      <c r="HV5" s="709"/>
      <c r="HW5" s="703" t="s">
        <v>65</v>
      </c>
      <c r="HX5" s="708" t="s">
        <v>4</v>
      </c>
      <c r="HY5" s="713"/>
      <c r="HZ5" s="709"/>
      <c r="IA5" s="724" t="s">
        <v>66</v>
      </c>
      <c r="IB5" s="708" t="s">
        <v>4</v>
      </c>
      <c r="IC5" s="713"/>
      <c r="ID5" s="709"/>
      <c r="IE5" s="716" t="s">
        <v>67</v>
      </c>
      <c r="IF5" s="22" t="s">
        <v>68</v>
      </c>
      <c r="IG5" s="22"/>
      <c r="IH5" s="22"/>
    </row>
    <row r="6" spans="1:249" s="23" customFormat="1" ht="81.75" customHeight="1" thickBot="1" x14ac:dyDescent="0.4">
      <c r="A6" s="24"/>
      <c r="B6" s="700"/>
      <c r="C6" s="702"/>
      <c r="D6" s="496"/>
      <c r="E6" s="704"/>
      <c r="F6" s="497" t="s">
        <v>69</v>
      </c>
      <c r="G6" s="497" t="s">
        <v>70</v>
      </c>
      <c r="H6" s="704"/>
      <c r="I6" s="497" t="s">
        <v>69</v>
      </c>
      <c r="J6" s="497" t="s">
        <v>70</v>
      </c>
      <c r="K6" s="704"/>
      <c r="L6" s="497" t="s">
        <v>69</v>
      </c>
      <c r="M6" s="497" t="s">
        <v>70</v>
      </c>
      <c r="N6" s="704"/>
      <c r="O6" s="497" t="s">
        <v>69</v>
      </c>
      <c r="P6" s="497" t="s">
        <v>70</v>
      </c>
      <c r="Q6" s="704"/>
      <c r="R6" s="497" t="s">
        <v>69</v>
      </c>
      <c r="S6" s="497" t="s">
        <v>70</v>
      </c>
      <c r="T6" s="704"/>
      <c r="U6" s="497" t="s">
        <v>69</v>
      </c>
      <c r="V6" s="497" t="s">
        <v>70</v>
      </c>
      <c r="W6" s="704"/>
      <c r="X6" s="497" t="s">
        <v>69</v>
      </c>
      <c r="Y6" s="497" t="s">
        <v>70</v>
      </c>
      <c r="Z6" s="704"/>
      <c r="AA6" s="497" t="s">
        <v>69</v>
      </c>
      <c r="AB6" s="497" t="s">
        <v>70</v>
      </c>
      <c r="AC6" s="704"/>
      <c r="AD6" s="497" t="s">
        <v>69</v>
      </c>
      <c r="AE6" s="497" t="s">
        <v>70</v>
      </c>
      <c r="AF6" s="704"/>
      <c r="AG6" s="497" t="s">
        <v>69</v>
      </c>
      <c r="AH6" s="497" t="s">
        <v>70</v>
      </c>
      <c r="AI6" s="704"/>
      <c r="AJ6" s="704"/>
      <c r="AK6" s="704"/>
      <c r="AL6" s="704"/>
      <c r="AM6" s="704"/>
      <c r="AN6" s="704"/>
      <c r="AO6" s="497" t="s">
        <v>71</v>
      </c>
      <c r="AP6" s="704"/>
      <c r="AQ6" s="704"/>
      <c r="AR6" s="704"/>
      <c r="AS6" s="704"/>
      <c r="AT6" s="497" t="s">
        <v>69</v>
      </c>
      <c r="AU6" s="497" t="s">
        <v>70</v>
      </c>
      <c r="AV6" s="704"/>
      <c r="AW6" s="497" t="s">
        <v>69</v>
      </c>
      <c r="AX6" s="497" t="s">
        <v>70</v>
      </c>
      <c r="AY6" s="704"/>
      <c r="AZ6" s="497" t="s">
        <v>69</v>
      </c>
      <c r="BA6" s="497" t="s">
        <v>70</v>
      </c>
      <c r="BB6" s="704"/>
      <c r="BC6" s="497" t="s">
        <v>69</v>
      </c>
      <c r="BD6" s="497" t="s">
        <v>70</v>
      </c>
      <c r="BE6" s="704"/>
      <c r="BF6" s="497" t="s">
        <v>69</v>
      </c>
      <c r="BG6" s="497" t="s">
        <v>70</v>
      </c>
      <c r="BH6" s="704"/>
      <c r="BI6" s="497" t="s">
        <v>69</v>
      </c>
      <c r="BJ6" s="497" t="s">
        <v>70</v>
      </c>
      <c r="BK6" s="497" t="s">
        <v>71</v>
      </c>
      <c r="BL6" s="497" t="s">
        <v>72</v>
      </c>
      <c r="BM6" s="704"/>
      <c r="BN6" s="497" t="s">
        <v>69</v>
      </c>
      <c r="BO6" s="497" t="s">
        <v>70</v>
      </c>
      <c r="BP6" s="704"/>
      <c r="BQ6" s="497" t="s">
        <v>69</v>
      </c>
      <c r="BR6" s="497" t="s">
        <v>70</v>
      </c>
      <c r="BS6" s="704"/>
      <c r="BT6" s="497" t="s">
        <v>69</v>
      </c>
      <c r="BU6" s="497" t="s">
        <v>70</v>
      </c>
      <c r="BV6" s="704"/>
      <c r="BW6" s="497" t="s">
        <v>69</v>
      </c>
      <c r="BX6" s="497" t="s">
        <v>70</v>
      </c>
      <c r="BY6" s="704"/>
      <c r="BZ6" s="497" t="s">
        <v>69</v>
      </c>
      <c r="CA6" s="497" t="s">
        <v>70</v>
      </c>
      <c r="CB6" s="704"/>
      <c r="CC6" s="497" t="s">
        <v>69</v>
      </c>
      <c r="CD6" s="497" t="s">
        <v>73</v>
      </c>
      <c r="CE6" s="497" t="s">
        <v>71</v>
      </c>
      <c r="CF6" s="497" t="s">
        <v>72</v>
      </c>
      <c r="CG6" s="704"/>
      <c r="CH6" s="704"/>
      <c r="CI6" s="497" t="s">
        <v>69</v>
      </c>
      <c r="CJ6" s="497" t="s">
        <v>70</v>
      </c>
      <c r="CK6" s="704"/>
      <c r="CL6" s="497" t="s">
        <v>69</v>
      </c>
      <c r="CM6" s="497" t="s">
        <v>70</v>
      </c>
      <c r="CN6" s="704"/>
      <c r="CO6" s="497" t="s">
        <v>69</v>
      </c>
      <c r="CP6" s="497" t="s">
        <v>70</v>
      </c>
      <c r="CQ6" s="704"/>
      <c r="CR6" s="497" t="s">
        <v>69</v>
      </c>
      <c r="CS6" s="497" t="s">
        <v>70</v>
      </c>
      <c r="CT6" s="704"/>
      <c r="CU6" s="497" t="s">
        <v>69</v>
      </c>
      <c r="CV6" s="497" t="s">
        <v>70</v>
      </c>
      <c r="CW6" s="704"/>
      <c r="CX6" s="497" t="s">
        <v>69</v>
      </c>
      <c r="CY6" s="497" t="s">
        <v>73</v>
      </c>
      <c r="CZ6" s="704"/>
      <c r="DA6" s="497" t="s">
        <v>69</v>
      </c>
      <c r="DB6" s="497" t="s">
        <v>73</v>
      </c>
      <c r="DC6" s="704"/>
      <c r="DD6" s="497" t="s">
        <v>69</v>
      </c>
      <c r="DE6" s="497" t="s">
        <v>70</v>
      </c>
      <c r="DF6" s="704"/>
      <c r="DG6" s="497" t="s">
        <v>74</v>
      </c>
      <c r="DH6" s="497" t="s">
        <v>73</v>
      </c>
      <c r="DI6" s="704"/>
      <c r="DJ6" s="497" t="s">
        <v>74</v>
      </c>
      <c r="DK6" s="497" t="s">
        <v>73</v>
      </c>
      <c r="DL6" s="704"/>
      <c r="DM6" s="497" t="s">
        <v>69</v>
      </c>
      <c r="DN6" s="497" t="s">
        <v>73</v>
      </c>
      <c r="DO6" s="704"/>
      <c r="DP6" s="497" t="s">
        <v>69</v>
      </c>
      <c r="DQ6" s="497" t="s">
        <v>73</v>
      </c>
      <c r="DR6" s="704"/>
      <c r="DS6" s="497" t="s">
        <v>69</v>
      </c>
      <c r="DT6" s="497" t="s">
        <v>73</v>
      </c>
      <c r="DU6" s="704"/>
      <c r="DV6" s="497" t="s">
        <v>69</v>
      </c>
      <c r="DW6" s="497" t="s">
        <v>70</v>
      </c>
      <c r="DX6" s="704"/>
      <c r="DY6" s="497" t="s">
        <v>69</v>
      </c>
      <c r="DZ6" s="497" t="s">
        <v>73</v>
      </c>
      <c r="EA6" s="704"/>
      <c r="EB6" s="497" t="s">
        <v>69</v>
      </c>
      <c r="EC6" s="497" t="s">
        <v>73</v>
      </c>
      <c r="ED6" s="704"/>
      <c r="EE6" s="497" t="s">
        <v>74</v>
      </c>
      <c r="EF6" s="497" t="s">
        <v>73</v>
      </c>
      <c r="EG6" s="712"/>
      <c r="EH6" s="497" t="s">
        <v>69</v>
      </c>
      <c r="EI6" s="497" t="s">
        <v>75</v>
      </c>
      <c r="EJ6" s="497" t="s">
        <v>73</v>
      </c>
      <c r="EK6" s="704"/>
      <c r="EL6" s="497" t="s">
        <v>69</v>
      </c>
      <c r="EM6" s="497" t="s">
        <v>75</v>
      </c>
      <c r="EN6" s="497" t="s">
        <v>73</v>
      </c>
      <c r="EO6" s="704"/>
      <c r="EP6" s="497" t="s">
        <v>69</v>
      </c>
      <c r="EQ6" s="497" t="s">
        <v>75</v>
      </c>
      <c r="ER6" s="497" t="s">
        <v>73</v>
      </c>
      <c r="ES6" s="715"/>
      <c r="ET6" s="497" t="s">
        <v>69</v>
      </c>
      <c r="EU6" s="497" t="s">
        <v>75</v>
      </c>
      <c r="EV6" s="497" t="s">
        <v>73</v>
      </c>
      <c r="EW6" s="704"/>
      <c r="EX6" s="497" t="s">
        <v>69</v>
      </c>
      <c r="EY6" s="497" t="s">
        <v>73</v>
      </c>
      <c r="EZ6" s="704"/>
      <c r="FA6" s="497" t="s">
        <v>74</v>
      </c>
      <c r="FB6" s="497" t="s">
        <v>73</v>
      </c>
      <c r="FC6" s="697"/>
      <c r="FD6" s="497" t="s">
        <v>69</v>
      </c>
      <c r="FE6" s="497" t="s">
        <v>75</v>
      </c>
      <c r="FF6" s="497" t="s">
        <v>73</v>
      </c>
      <c r="FG6" s="704"/>
      <c r="FH6" s="497" t="s">
        <v>69</v>
      </c>
      <c r="FI6" s="497" t="s">
        <v>75</v>
      </c>
      <c r="FJ6" s="497" t="s">
        <v>73</v>
      </c>
      <c r="FK6" s="704"/>
      <c r="FL6" s="497" t="s">
        <v>69</v>
      </c>
      <c r="FM6" s="497" t="s">
        <v>75</v>
      </c>
      <c r="FN6" s="497" t="s">
        <v>73</v>
      </c>
      <c r="FO6" s="729"/>
      <c r="FP6" s="497" t="s">
        <v>69</v>
      </c>
      <c r="FQ6" s="497" t="s">
        <v>75</v>
      </c>
      <c r="FR6" s="497" t="s">
        <v>73</v>
      </c>
      <c r="FS6" s="697"/>
      <c r="FT6" s="697"/>
      <c r="FU6" s="489" t="s">
        <v>69</v>
      </c>
      <c r="FV6" s="489" t="s">
        <v>464</v>
      </c>
      <c r="FW6" s="489" t="s">
        <v>75</v>
      </c>
      <c r="FX6" s="489" t="s">
        <v>464</v>
      </c>
      <c r="FY6" s="489" t="s">
        <v>73</v>
      </c>
      <c r="FZ6" s="489" t="s">
        <v>464</v>
      </c>
      <c r="GA6" s="697"/>
      <c r="GB6" s="697"/>
      <c r="GC6" s="489" t="s">
        <v>69</v>
      </c>
      <c r="GD6" s="489" t="s">
        <v>464</v>
      </c>
      <c r="GE6" s="489" t="s">
        <v>75</v>
      </c>
      <c r="GF6" s="489" t="s">
        <v>464</v>
      </c>
      <c r="GG6" s="489" t="s">
        <v>73</v>
      </c>
      <c r="GH6" s="489" t="s">
        <v>464</v>
      </c>
      <c r="GI6" s="697"/>
      <c r="GJ6" s="697"/>
      <c r="GK6" s="489" t="s">
        <v>69</v>
      </c>
      <c r="GL6" s="489" t="s">
        <v>464</v>
      </c>
      <c r="GM6" s="489" t="s">
        <v>75</v>
      </c>
      <c r="GN6" s="489" t="s">
        <v>464</v>
      </c>
      <c r="GO6" s="489" t="s">
        <v>73</v>
      </c>
      <c r="GP6" s="489" t="s">
        <v>464</v>
      </c>
      <c r="GQ6" s="491"/>
      <c r="GR6" s="491"/>
      <c r="GS6" s="26"/>
      <c r="GT6" s="26"/>
      <c r="GU6" s="725"/>
      <c r="GV6" s="25" t="s">
        <v>69</v>
      </c>
      <c r="GW6" s="25" t="s">
        <v>75</v>
      </c>
      <c r="GX6" s="25" t="s">
        <v>73</v>
      </c>
      <c r="GY6" s="25"/>
      <c r="GZ6" s="25"/>
      <c r="HA6" s="25"/>
      <c r="HB6" s="25"/>
      <c r="HC6" s="25"/>
      <c r="HD6" s="25"/>
      <c r="HE6" s="25"/>
      <c r="HF6" s="25"/>
      <c r="HG6" s="726"/>
      <c r="HH6" s="25" t="s">
        <v>69</v>
      </c>
      <c r="HI6" s="25" t="s">
        <v>75</v>
      </c>
      <c r="HJ6" s="25" t="s">
        <v>73</v>
      </c>
      <c r="HK6" s="728"/>
      <c r="HL6" s="25" t="s">
        <v>69</v>
      </c>
      <c r="HM6" s="25" t="s">
        <v>75</v>
      </c>
      <c r="HN6" s="25" t="s">
        <v>73</v>
      </c>
      <c r="HO6" s="725"/>
      <c r="HP6" s="25" t="s">
        <v>69</v>
      </c>
      <c r="HQ6" s="25" t="s">
        <v>75</v>
      </c>
      <c r="HR6" s="25" t="s">
        <v>73</v>
      </c>
      <c r="HS6" s="725"/>
      <c r="HT6" s="25" t="s">
        <v>69</v>
      </c>
      <c r="HU6" s="25" t="s">
        <v>75</v>
      </c>
      <c r="HV6" s="25" t="s">
        <v>73</v>
      </c>
      <c r="HW6" s="726"/>
      <c r="HX6" s="25" t="s">
        <v>69</v>
      </c>
      <c r="HY6" s="25" t="s">
        <v>75</v>
      </c>
      <c r="HZ6" s="25" t="s">
        <v>73</v>
      </c>
      <c r="IA6" s="725"/>
      <c r="IB6" s="25" t="s">
        <v>69</v>
      </c>
      <c r="IC6" s="25" t="s">
        <v>75</v>
      </c>
      <c r="ID6" s="25" t="s">
        <v>73</v>
      </c>
      <c r="IE6" s="717"/>
      <c r="IF6" s="22"/>
      <c r="IG6" s="22"/>
      <c r="IH6" s="22"/>
    </row>
    <row r="7" spans="1:249" s="27" customFormat="1" ht="15" hidden="1" customHeight="1" x14ac:dyDescent="0.35">
      <c r="B7" s="492">
        <v>1</v>
      </c>
      <c r="C7" s="493">
        <v>2</v>
      </c>
      <c r="D7" s="493"/>
      <c r="E7" s="494">
        <v>3</v>
      </c>
      <c r="F7" s="494" t="s">
        <v>76</v>
      </c>
      <c r="G7" s="494" t="s">
        <v>77</v>
      </c>
      <c r="H7" s="494">
        <v>3</v>
      </c>
      <c r="I7" s="494" t="s">
        <v>76</v>
      </c>
      <c r="J7" s="494" t="s">
        <v>77</v>
      </c>
      <c r="K7" s="494">
        <v>3</v>
      </c>
      <c r="L7" s="494" t="s">
        <v>76</v>
      </c>
      <c r="M7" s="494" t="s">
        <v>77</v>
      </c>
      <c r="N7" s="494">
        <v>3</v>
      </c>
      <c r="O7" s="494" t="s">
        <v>76</v>
      </c>
      <c r="P7" s="494" t="s">
        <v>77</v>
      </c>
      <c r="Q7" s="493">
        <v>3</v>
      </c>
      <c r="R7" s="494" t="s">
        <v>76</v>
      </c>
      <c r="S7" s="494" t="s">
        <v>77</v>
      </c>
      <c r="T7" s="493" t="s">
        <v>78</v>
      </c>
      <c r="U7" s="493" t="s">
        <v>76</v>
      </c>
      <c r="V7" s="493" t="s">
        <v>77</v>
      </c>
      <c r="W7" s="493" t="s">
        <v>79</v>
      </c>
      <c r="X7" s="493" t="s">
        <v>76</v>
      </c>
      <c r="Y7" s="493" t="s">
        <v>77</v>
      </c>
      <c r="Z7" s="493" t="s">
        <v>78</v>
      </c>
      <c r="AA7" s="493" t="s">
        <v>76</v>
      </c>
      <c r="AB7" s="493" t="s">
        <v>77</v>
      </c>
      <c r="AC7" s="493" t="s">
        <v>79</v>
      </c>
      <c r="AD7" s="493" t="s">
        <v>80</v>
      </c>
      <c r="AE7" s="493" t="s">
        <v>81</v>
      </c>
      <c r="AF7" s="493" t="s">
        <v>82</v>
      </c>
      <c r="AG7" s="493" t="s">
        <v>83</v>
      </c>
      <c r="AH7" s="493" t="s">
        <v>84</v>
      </c>
      <c r="AI7" s="493" t="s">
        <v>85</v>
      </c>
      <c r="AJ7" s="493" t="s">
        <v>86</v>
      </c>
      <c r="AK7" s="493" t="s">
        <v>87</v>
      </c>
      <c r="AL7" s="493" t="s">
        <v>86</v>
      </c>
      <c r="AM7" s="493" t="s">
        <v>88</v>
      </c>
      <c r="AN7" s="493" t="s">
        <v>87</v>
      </c>
      <c r="AO7" s="493" t="s">
        <v>85</v>
      </c>
      <c r="AP7" s="493" t="s">
        <v>89</v>
      </c>
      <c r="AQ7" s="493" t="s">
        <v>86</v>
      </c>
      <c r="AR7" s="493" t="s">
        <v>87</v>
      </c>
      <c r="AS7" s="493" t="s">
        <v>78</v>
      </c>
      <c r="AT7" s="493" t="s">
        <v>76</v>
      </c>
      <c r="AU7" s="493" t="s">
        <v>77</v>
      </c>
      <c r="AV7" s="493" t="s">
        <v>79</v>
      </c>
      <c r="AW7" s="493" t="s">
        <v>80</v>
      </c>
      <c r="AX7" s="493" t="s">
        <v>81</v>
      </c>
      <c r="AY7" s="493" t="s">
        <v>82</v>
      </c>
      <c r="AZ7" s="493" t="s">
        <v>83</v>
      </c>
      <c r="BA7" s="493" t="s">
        <v>84</v>
      </c>
      <c r="BB7" s="493" t="s">
        <v>90</v>
      </c>
      <c r="BC7" s="494" t="s">
        <v>76</v>
      </c>
      <c r="BD7" s="494" t="s">
        <v>77</v>
      </c>
      <c r="BE7" s="493" t="s">
        <v>85</v>
      </c>
      <c r="BF7" s="493" t="s">
        <v>91</v>
      </c>
      <c r="BG7" s="493" t="s">
        <v>92</v>
      </c>
      <c r="BH7" s="493" t="s">
        <v>78</v>
      </c>
      <c r="BI7" s="493" t="s">
        <v>76</v>
      </c>
      <c r="BJ7" s="493" t="s">
        <v>77</v>
      </c>
      <c r="BK7" s="493" t="s">
        <v>85</v>
      </c>
      <c r="BL7" s="493" t="s">
        <v>93</v>
      </c>
      <c r="BM7" s="493" t="s">
        <v>86</v>
      </c>
      <c r="BN7" s="493" t="s">
        <v>94</v>
      </c>
      <c r="BO7" s="493" t="s">
        <v>95</v>
      </c>
      <c r="BP7" s="493" t="s">
        <v>87</v>
      </c>
      <c r="BQ7" s="493" t="s">
        <v>96</v>
      </c>
      <c r="BR7" s="493" t="s">
        <v>97</v>
      </c>
      <c r="BS7" s="493" t="s">
        <v>88</v>
      </c>
      <c r="BT7" s="493" t="s">
        <v>98</v>
      </c>
      <c r="BU7" s="493" t="s">
        <v>99</v>
      </c>
      <c r="BV7" s="493" t="s">
        <v>86</v>
      </c>
      <c r="BW7" s="493" t="s">
        <v>100</v>
      </c>
      <c r="BX7" s="493" t="s">
        <v>101</v>
      </c>
      <c r="BY7" s="493" t="s">
        <v>79</v>
      </c>
      <c r="BZ7" s="493" t="s">
        <v>80</v>
      </c>
      <c r="CA7" s="493" t="s">
        <v>81</v>
      </c>
      <c r="CB7" s="493" t="s">
        <v>78</v>
      </c>
      <c r="CC7" s="493" t="s">
        <v>76</v>
      </c>
      <c r="CD7" s="493" t="s">
        <v>77</v>
      </c>
      <c r="CE7" s="493" t="s">
        <v>87</v>
      </c>
      <c r="CF7" s="493" t="s">
        <v>88</v>
      </c>
      <c r="CG7" s="493" t="s">
        <v>102</v>
      </c>
      <c r="CH7" s="493" t="s">
        <v>86</v>
      </c>
      <c r="CI7" s="493" t="s">
        <v>103</v>
      </c>
      <c r="CJ7" s="493" t="s">
        <v>104</v>
      </c>
      <c r="CK7" s="493" t="s">
        <v>87</v>
      </c>
      <c r="CL7" s="493" t="s">
        <v>105</v>
      </c>
      <c r="CM7" s="493" t="s">
        <v>106</v>
      </c>
      <c r="CN7" s="493" t="s">
        <v>88</v>
      </c>
      <c r="CO7" s="493"/>
      <c r="CP7" s="493"/>
      <c r="CQ7" s="493" t="s">
        <v>85</v>
      </c>
      <c r="CR7" s="493" t="s">
        <v>91</v>
      </c>
      <c r="CS7" s="493" t="s">
        <v>92</v>
      </c>
      <c r="CT7" s="493" t="s">
        <v>79</v>
      </c>
      <c r="CU7" s="493" t="s">
        <v>107</v>
      </c>
      <c r="CV7" s="493" t="s">
        <v>108</v>
      </c>
      <c r="CW7" s="493" t="s">
        <v>78</v>
      </c>
      <c r="CX7" s="493" t="s">
        <v>76</v>
      </c>
      <c r="CY7" s="493" t="s">
        <v>77</v>
      </c>
      <c r="CZ7" s="493" t="s">
        <v>85</v>
      </c>
      <c r="DA7" s="493" t="s">
        <v>80</v>
      </c>
      <c r="DB7" s="493" t="s">
        <v>81</v>
      </c>
      <c r="DC7" s="493" t="s">
        <v>89</v>
      </c>
      <c r="DD7" s="493"/>
      <c r="DE7" s="493"/>
      <c r="DF7" s="493" t="s">
        <v>79</v>
      </c>
      <c r="DG7" s="493" t="s">
        <v>80</v>
      </c>
      <c r="DH7" s="493" t="s">
        <v>81</v>
      </c>
      <c r="DI7" s="493" t="s">
        <v>82</v>
      </c>
      <c r="DJ7" s="493" t="s">
        <v>83</v>
      </c>
      <c r="DK7" s="493" t="s">
        <v>84</v>
      </c>
      <c r="DL7" s="493" t="s">
        <v>85</v>
      </c>
      <c r="DM7" s="493" t="s">
        <v>91</v>
      </c>
      <c r="DN7" s="493" t="s">
        <v>92</v>
      </c>
      <c r="DO7" s="493" t="s">
        <v>89</v>
      </c>
      <c r="DP7" s="493" t="s">
        <v>107</v>
      </c>
      <c r="DQ7" s="493" t="s">
        <v>108</v>
      </c>
      <c r="DR7" s="493" t="s">
        <v>86</v>
      </c>
      <c r="DS7" s="493" t="s">
        <v>94</v>
      </c>
      <c r="DT7" s="493" t="s">
        <v>95</v>
      </c>
      <c r="DU7" s="493" t="s">
        <v>85</v>
      </c>
      <c r="DV7" s="493" t="s">
        <v>91</v>
      </c>
      <c r="DW7" s="493" t="s">
        <v>92</v>
      </c>
      <c r="DX7" s="493" t="s">
        <v>88</v>
      </c>
      <c r="DY7" s="493" t="s">
        <v>98</v>
      </c>
      <c r="DZ7" s="493" t="s">
        <v>99</v>
      </c>
      <c r="EA7" s="493" t="s">
        <v>88</v>
      </c>
      <c r="EB7" s="493"/>
      <c r="EC7" s="493"/>
      <c r="ED7" s="493" t="s">
        <v>89</v>
      </c>
      <c r="EE7" s="493" t="s">
        <v>107</v>
      </c>
      <c r="EF7" s="493" t="s">
        <v>108</v>
      </c>
      <c r="EG7" s="493" t="s">
        <v>78</v>
      </c>
      <c r="EH7" s="493" t="s">
        <v>76</v>
      </c>
      <c r="EI7" s="493" t="s">
        <v>77</v>
      </c>
      <c r="EJ7" s="495" t="s">
        <v>109</v>
      </c>
      <c r="EK7" s="493" t="s">
        <v>79</v>
      </c>
      <c r="EL7" s="493" t="s">
        <v>80</v>
      </c>
      <c r="EM7" s="493" t="s">
        <v>81</v>
      </c>
      <c r="EN7" s="493" t="s">
        <v>110</v>
      </c>
      <c r="EO7" s="493" t="s">
        <v>79</v>
      </c>
      <c r="EP7" s="493" t="s">
        <v>80</v>
      </c>
      <c r="EQ7" s="493" t="s">
        <v>81</v>
      </c>
      <c r="ER7" s="493" t="s">
        <v>110</v>
      </c>
      <c r="ES7" s="493" t="s">
        <v>79</v>
      </c>
      <c r="ET7" s="493" t="s">
        <v>80</v>
      </c>
      <c r="EU7" s="493" t="s">
        <v>81</v>
      </c>
      <c r="EV7" s="493" t="s">
        <v>110</v>
      </c>
      <c r="EW7" s="493" t="s">
        <v>87</v>
      </c>
      <c r="EX7" s="493" t="s">
        <v>96</v>
      </c>
      <c r="EY7" s="493" t="s">
        <v>97</v>
      </c>
      <c r="EZ7" s="493" t="s">
        <v>88</v>
      </c>
      <c r="FA7" s="493" t="s">
        <v>98</v>
      </c>
      <c r="FB7" s="493" t="s">
        <v>99</v>
      </c>
      <c r="FC7" s="493" t="s">
        <v>85</v>
      </c>
      <c r="FD7" s="493" t="s">
        <v>91</v>
      </c>
      <c r="FE7" s="493" t="s">
        <v>92</v>
      </c>
      <c r="FF7" s="493" t="s">
        <v>111</v>
      </c>
      <c r="FG7" s="493" t="s">
        <v>89</v>
      </c>
      <c r="FH7" s="493" t="s">
        <v>107</v>
      </c>
      <c r="FI7" s="493" t="s">
        <v>108</v>
      </c>
      <c r="FJ7" s="493" t="s">
        <v>112</v>
      </c>
      <c r="FK7" s="493" t="s">
        <v>86</v>
      </c>
      <c r="FL7" s="493" t="s">
        <v>94</v>
      </c>
      <c r="FM7" s="493" t="s">
        <v>95</v>
      </c>
      <c r="FN7" s="493" t="s">
        <v>113</v>
      </c>
      <c r="FO7" s="493" t="s">
        <v>78</v>
      </c>
      <c r="FP7" s="493" t="s">
        <v>76</v>
      </c>
      <c r="FQ7" s="493" t="s">
        <v>77</v>
      </c>
      <c r="FR7" s="493" t="s">
        <v>109</v>
      </c>
      <c r="FS7" s="493"/>
      <c r="FT7" s="493"/>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t="s">
        <v>85</v>
      </c>
      <c r="GV7" s="28" t="s">
        <v>91</v>
      </c>
      <c r="GW7" s="28" t="s">
        <v>92</v>
      </c>
      <c r="GX7" s="28" t="s">
        <v>111</v>
      </c>
      <c r="GY7" s="28"/>
      <c r="GZ7" s="28"/>
      <c r="HA7" s="28"/>
      <c r="HB7" s="28"/>
      <c r="HC7" s="28"/>
      <c r="HD7" s="28"/>
      <c r="HE7" s="28"/>
      <c r="HF7" s="28"/>
      <c r="HG7" s="28" t="s">
        <v>88</v>
      </c>
      <c r="HH7" s="28" t="s">
        <v>98</v>
      </c>
      <c r="HI7" s="28" t="s">
        <v>99</v>
      </c>
      <c r="HJ7" s="28" t="s">
        <v>114</v>
      </c>
      <c r="HK7" s="28" t="s">
        <v>89</v>
      </c>
      <c r="HL7" s="28" t="s">
        <v>107</v>
      </c>
      <c r="HM7" s="28" t="s">
        <v>108</v>
      </c>
      <c r="HN7" s="28" t="s">
        <v>112</v>
      </c>
      <c r="HO7" s="28" t="s">
        <v>79</v>
      </c>
      <c r="HP7" s="28" t="s">
        <v>80</v>
      </c>
      <c r="HQ7" s="28" t="s">
        <v>81</v>
      </c>
      <c r="HR7" s="28" t="s">
        <v>110</v>
      </c>
      <c r="HS7" s="28" t="s">
        <v>87</v>
      </c>
      <c r="HT7" s="28" t="s">
        <v>96</v>
      </c>
      <c r="HU7" s="28" t="s">
        <v>97</v>
      </c>
      <c r="HV7" s="28" t="s">
        <v>115</v>
      </c>
      <c r="HW7" s="28" t="s">
        <v>88</v>
      </c>
      <c r="HX7" s="28" t="s">
        <v>98</v>
      </c>
      <c r="HY7" s="28" t="s">
        <v>99</v>
      </c>
      <c r="HZ7" s="28" t="s">
        <v>114</v>
      </c>
      <c r="IA7" s="28" t="s">
        <v>82</v>
      </c>
      <c r="IB7" s="28" t="s">
        <v>103</v>
      </c>
      <c r="IC7" s="28" t="s">
        <v>104</v>
      </c>
      <c r="ID7" s="28" t="s">
        <v>116</v>
      </c>
      <c r="IE7" s="29" t="s">
        <v>85</v>
      </c>
      <c r="IF7" s="30"/>
      <c r="IG7" s="30"/>
      <c r="IH7" s="30"/>
      <c r="II7" s="31"/>
      <c r="IJ7" s="31"/>
      <c r="IK7" s="31"/>
      <c r="IL7" s="31"/>
      <c r="IM7" s="31"/>
      <c r="IN7" s="31"/>
      <c r="IO7" s="31"/>
    </row>
    <row r="8" spans="1:249" s="32" customFormat="1" ht="35.25" customHeight="1" x14ac:dyDescent="0.25">
      <c r="B8" s="718" t="s">
        <v>117</v>
      </c>
      <c r="C8" s="719"/>
      <c r="D8" s="33"/>
      <c r="E8" s="34"/>
      <c r="F8" s="34"/>
      <c r="G8" s="34"/>
      <c r="H8" s="34"/>
      <c r="I8" s="34"/>
      <c r="J8" s="34"/>
      <c r="K8" s="34"/>
      <c r="L8" s="34"/>
      <c r="M8" s="34"/>
      <c r="N8" s="34"/>
      <c r="O8" s="34"/>
      <c r="P8" s="34"/>
      <c r="Q8" s="33"/>
      <c r="R8" s="34"/>
      <c r="S8" s="34"/>
      <c r="T8" s="33"/>
      <c r="U8" s="33"/>
      <c r="V8" s="33"/>
      <c r="W8" s="33"/>
      <c r="X8" s="33"/>
      <c r="Y8" s="33"/>
      <c r="Z8" s="35" t="e">
        <f t="shared" ref="Z8:AN8" si="0">Z392</f>
        <v>#REF!</v>
      </c>
      <c r="AA8" s="35" t="e">
        <f t="shared" si="0"/>
        <v>#REF!</v>
      </c>
      <c r="AB8" s="35" t="e">
        <f t="shared" si="0"/>
        <v>#REF!</v>
      </c>
      <c r="AC8" s="35" t="e">
        <f t="shared" si="0"/>
        <v>#REF!</v>
      </c>
      <c r="AD8" s="35" t="e">
        <f t="shared" si="0"/>
        <v>#REF!</v>
      </c>
      <c r="AE8" s="35" t="e">
        <f t="shared" si="0"/>
        <v>#REF!</v>
      </c>
      <c r="AF8" s="35" t="e">
        <f t="shared" si="0"/>
        <v>#REF!</v>
      </c>
      <c r="AG8" s="35" t="e">
        <f t="shared" si="0"/>
        <v>#REF!</v>
      </c>
      <c r="AH8" s="35" t="e">
        <f t="shared" si="0"/>
        <v>#REF!</v>
      </c>
      <c r="AI8" s="35" t="e">
        <f t="shared" si="0"/>
        <v>#REF!</v>
      </c>
      <c r="AJ8" s="35" t="e">
        <f t="shared" si="0"/>
        <v>#REF!</v>
      </c>
      <c r="AK8" s="35" t="e">
        <f t="shared" si="0"/>
        <v>#REF!</v>
      </c>
      <c r="AL8" s="35" t="e">
        <f t="shared" si="0"/>
        <v>#REF!</v>
      </c>
      <c r="AM8" s="35" t="e">
        <f t="shared" si="0"/>
        <v>#REF!</v>
      </c>
      <c r="AN8" s="35" t="e">
        <f t="shared" si="0"/>
        <v>#REF!</v>
      </c>
      <c r="AO8" s="36">
        <v>1</v>
      </c>
      <c r="AP8" s="35" t="e">
        <f t="shared" ref="AP8:BJ8" si="1">AP392</f>
        <v>#REF!</v>
      </c>
      <c r="AQ8" s="35" t="e">
        <f t="shared" si="1"/>
        <v>#REF!</v>
      </c>
      <c r="AR8" s="35" t="e">
        <f t="shared" si="1"/>
        <v>#REF!</v>
      </c>
      <c r="AS8" s="35" t="e">
        <f t="shared" si="1"/>
        <v>#REF!</v>
      </c>
      <c r="AT8" s="35" t="e">
        <f t="shared" si="1"/>
        <v>#REF!</v>
      </c>
      <c r="AU8" s="35" t="e">
        <f t="shared" si="1"/>
        <v>#REF!</v>
      </c>
      <c r="AV8" s="35" t="e">
        <f t="shared" si="1"/>
        <v>#REF!</v>
      </c>
      <c r="AW8" s="35" t="e">
        <f t="shared" si="1"/>
        <v>#REF!</v>
      </c>
      <c r="AX8" s="35" t="e">
        <f t="shared" si="1"/>
        <v>#REF!</v>
      </c>
      <c r="AY8" s="35" t="e">
        <f t="shared" si="1"/>
        <v>#REF!</v>
      </c>
      <c r="AZ8" s="35" t="e">
        <f t="shared" si="1"/>
        <v>#REF!</v>
      </c>
      <c r="BA8" s="35" t="e">
        <f t="shared" si="1"/>
        <v>#REF!</v>
      </c>
      <c r="BB8" s="35" t="e">
        <f t="shared" si="1"/>
        <v>#REF!</v>
      </c>
      <c r="BC8" s="35" t="e">
        <f t="shared" si="1"/>
        <v>#REF!</v>
      </c>
      <c r="BD8" s="35" t="e">
        <f t="shared" si="1"/>
        <v>#REF!</v>
      </c>
      <c r="BE8" s="35" t="e">
        <f t="shared" si="1"/>
        <v>#REF!</v>
      </c>
      <c r="BF8" s="35" t="e">
        <f t="shared" si="1"/>
        <v>#REF!</v>
      </c>
      <c r="BG8" s="35" t="e">
        <f t="shared" si="1"/>
        <v>#REF!</v>
      </c>
      <c r="BH8" s="35" t="e">
        <f t="shared" si="1"/>
        <v>#REF!</v>
      </c>
      <c r="BI8" s="35" t="e">
        <f t="shared" si="1"/>
        <v>#REF!</v>
      </c>
      <c r="BJ8" s="35" t="e">
        <f t="shared" si="1"/>
        <v>#REF!</v>
      </c>
      <c r="BK8" s="37">
        <v>1</v>
      </c>
      <c r="BL8" s="35" t="e">
        <f t="shared" ref="BL8:CD8" si="2">BL392</f>
        <v>#REF!</v>
      </c>
      <c r="BM8" s="35" t="e">
        <f t="shared" si="2"/>
        <v>#REF!</v>
      </c>
      <c r="BN8" s="35" t="e">
        <f t="shared" si="2"/>
        <v>#REF!</v>
      </c>
      <c r="BO8" s="35" t="e">
        <f t="shared" si="2"/>
        <v>#REF!</v>
      </c>
      <c r="BP8" s="35" t="e">
        <f t="shared" si="2"/>
        <v>#REF!</v>
      </c>
      <c r="BQ8" s="35" t="e">
        <f t="shared" si="2"/>
        <v>#REF!</v>
      </c>
      <c r="BR8" s="35" t="e">
        <f t="shared" si="2"/>
        <v>#REF!</v>
      </c>
      <c r="BS8" s="35" t="e">
        <f t="shared" si="2"/>
        <v>#REF!</v>
      </c>
      <c r="BT8" s="35" t="e">
        <f t="shared" si="2"/>
        <v>#REF!</v>
      </c>
      <c r="BU8" s="35" t="e">
        <f t="shared" si="2"/>
        <v>#REF!</v>
      </c>
      <c r="BV8" s="35" t="e">
        <f t="shared" si="2"/>
        <v>#REF!</v>
      </c>
      <c r="BW8" s="35" t="e">
        <f t="shared" si="2"/>
        <v>#REF!</v>
      </c>
      <c r="BX8" s="35" t="e">
        <f t="shared" si="2"/>
        <v>#REF!</v>
      </c>
      <c r="BY8" s="35" t="e">
        <f t="shared" si="2"/>
        <v>#REF!</v>
      </c>
      <c r="BZ8" s="35" t="e">
        <f t="shared" si="2"/>
        <v>#REF!</v>
      </c>
      <c r="CA8" s="35" t="e">
        <f t="shared" si="2"/>
        <v>#REF!</v>
      </c>
      <c r="CB8" s="35" t="e">
        <f t="shared" si="2"/>
        <v>#REF!</v>
      </c>
      <c r="CC8" s="35" t="e">
        <f t="shared" si="2"/>
        <v>#REF!</v>
      </c>
      <c r="CD8" s="35" t="e">
        <f t="shared" si="2"/>
        <v>#REF!</v>
      </c>
      <c r="CE8" s="35">
        <v>1</v>
      </c>
      <c r="CF8" s="35" t="e">
        <f>CF392</f>
        <v>#REF!</v>
      </c>
      <c r="CG8" s="35"/>
      <c r="CH8" s="35" t="e">
        <f t="shared" ref="CH8:DH8" si="3">CH392</f>
        <v>#REF!</v>
      </c>
      <c r="CI8" s="35" t="e">
        <f t="shared" si="3"/>
        <v>#REF!</v>
      </c>
      <c r="CJ8" s="35" t="e">
        <f t="shared" si="3"/>
        <v>#REF!</v>
      </c>
      <c r="CK8" s="35" t="e">
        <f t="shared" si="3"/>
        <v>#REF!</v>
      </c>
      <c r="CL8" s="35" t="e">
        <f t="shared" si="3"/>
        <v>#REF!</v>
      </c>
      <c r="CM8" s="35" t="e">
        <f t="shared" si="3"/>
        <v>#REF!</v>
      </c>
      <c r="CN8" s="35">
        <f t="shared" si="3"/>
        <v>0</v>
      </c>
      <c r="CO8" s="35">
        <f t="shared" si="3"/>
        <v>0</v>
      </c>
      <c r="CP8" s="35">
        <f t="shared" si="3"/>
        <v>0</v>
      </c>
      <c r="CQ8" s="35" t="e">
        <f t="shared" si="3"/>
        <v>#REF!</v>
      </c>
      <c r="CR8" s="35" t="e">
        <f t="shared" si="3"/>
        <v>#REF!</v>
      </c>
      <c r="CS8" s="35" t="e">
        <f t="shared" si="3"/>
        <v>#REF!</v>
      </c>
      <c r="CT8" s="35" t="e">
        <f t="shared" si="3"/>
        <v>#REF!</v>
      </c>
      <c r="CU8" s="35" t="e">
        <f t="shared" si="3"/>
        <v>#REF!</v>
      </c>
      <c r="CV8" s="35" t="e">
        <f t="shared" si="3"/>
        <v>#REF!</v>
      </c>
      <c r="CW8" s="38" t="e">
        <f t="shared" si="3"/>
        <v>#REF!</v>
      </c>
      <c r="CX8" s="38" t="e">
        <f t="shared" si="3"/>
        <v>#REF!</v>
      </c>
      <c r="CY8" s="38" t="e">
        <f t="shared" si="3"/>
        <v>#REF!</v>
      </c>
      <c r="CZ8" s="38" t="e">
        <f t="shared" si="3"/>
        <v>#REF!</v>
      </c>
      <c r="DA8" s="38" t="e">
        <f t="shared" si="3"/>
        <v>#REF!</v>
      </c>
      <c r="DB8" s="38" t="e">
        <f t="shared" si="3"/>
        <v>#REF!</v>
      </c>
      <c r="DC8" s="38" t="e">
        <f t="shared" si="3"/>
        <v>#REF!</v>
      </c>
      <c r="DD8" s="38" t="e">
        <f t="shared" si="3"/>
        <v>#REF!</v>
      </c>
      <c r="DE8" s="38" t="e">
        <f t="shared" si="3"/>
        <v>#REF!</v>
      </c>
      <c r="DF8" s="38" t="e">
        <f t="shared" si="3"/>
        <v>#REF!</v>
      </c>
      <c r="DG8" s="38" t="e">
        <f t="shared" si="3"/>
        <v>#REF!</v>
      </c>
      <c r="DH8" s="38" t="e">
        <f t="shared" si="3"/>
        <v>#REF!</v>
      </c>
      <c r="DI8" s="38" t="e">
        <f>DI392-0.1</f>
        <v>#REF!</v>
      </c>
      <c r="DJ8" s="38" t="e">
        <f t="shared" ref="DJ8:EF8" si="4">DJ392</f>
        <v>#REF!</v>
      </c>
      <c r="DK8" s="38" t="e">
        <f t="shared" si="4"/>
        <v>#REF!</v>
      </c>
      <c r="DL8" s="38" t="e">
        <f t="shared" si="4"/>
        <v>#REF!</v>
      </c>
      <c r="DM8" s="38" t="e">
        <f t="shared" si="4"/>
        <v>#REF!</v>
      </c>
      <c r="DN8" s="38" t="e">
        <f t="shared" si="4"/>
        <v>#REF!</v>
      </c>
      <c r="DO8" s="38" t="e">
        <f t="shared" si="4"/>
        <v>#REF!</v>
      </c>
      <c r="DP8" s="38" t="e">
        <f t="shared" si="4"/>
        <v>#REF!</v>
      </c>
      <c r="DQ8" s="38" t="e">
        <f t="shared" si="4"/>
        <v>#REF!</v>
      </c>
      <c r="DR8" s="38" t="e">
        <f t="shared" si="4"/>
        <v>#REF!</v>
      </c>
      <c r="DS8" s="38" t="e">
        <f t="shared" si="4"/>
        <v>#REF!</v>
      </c>
      <c r="DT8" s="38" t="e">
        <f t="shared" si="4"/>
        <v>#REF!</v>
      </c>
      <c r="DU8" s="38" t="e">
        <f t="shared" si="4"/>
        <v>#REF!</v>
      </c>
      <c r="DV8" s="38" t="e">
        <f t="shared" si="4"/>
        <v>#REF!</v>
      </c>
      <c r="DW8" s="38" t="e">
        <f t="shared" si="4"/>
        <v>#REF!</v>
      </c>
      <c r="DX8" s="38" t="e">
        <f t="shared" si="4"/>
        <v>#REF!</v>
      </c>
      <c r="DY8" s="38" t="e">
        <f t="shared" si="4"/>
        <v>#REF!</v>
      </c>
      <c r="DZ8" s="38" t="e">
        <f t="shared" si="4"/>
        <v>#REF!</v>
      </c>
      <c r="EA8" s="38" t="e">
        <f t="shared" si="4"/>
        <v>#REF!</v>
      </c>
      <c r="EB8" s="38" t="e">
        <f t="shared" si="4"/>
        <v>#REF!</v>
      </c>
      <c r="EC8" s="38" t="e">
        <f t="shared" si="4"/>
        <v>#REF!</v>
      </c>
      <c r="ED8" s="38" t="e">
        <f t="shared" si="4"/>
        <v>#REF!</v>
      </c>
      <c r="EE8" s="38" t="e">
        <f t="shared" si="4"/>
        <v>#REF!</v>
      </c>
      <c r="EF8" s="38" t="e">
        <f t="shared" si="4"/>
        <v>#REF!</v>
      </c>
      <c r="EG8" s="38" t="e">
        <f>EH8+EI8+EJ8</f>
        <v>#REF!</v>
      </c>
      <c r="EH8" s="38" t="e">
        <f>EH25+EH361+EH387+EH385</f>
        <v>#REF!</v>
      </c>
      <c r="EI8" s="38">
        <f>EI25+EI361+EI387</f>
        <v>639535.67071999994</v>
      </c>
      <c r="EJ8" s="38" t="e">
        <f>EJ25+EJ361+EJ387</f>
        <v>#REF!</v>
      </c>
      <c r="EK8" s="38" t="e">
        <f>EL8+EM8+EN8</f>
        <v>#REF!</v>
      </c>
      <c r="EL8" s="38" t="e">
        <f>EL25+EL361+EL387+EL385</f>
        <v>#REF!</v>
      </c>
      <c r="EM8" s="38" t="e">
        <f>EM25+EM361+EM387</f>
        <v>#REF!</v>
      </c>
      <c r="EN8" s="38" t="e">
        <f>EN25+EN361+EN387</f>
        <v>#REF!</v>
      </c>
      <c r="EO8" s="38" t="e">
        <f>EO392</f>
        <v>#REF!</v>
      </c>
      <c r="EP8" s="38" t="e">
        <f>EP392</f>
        <v>#REF!</v>
      </c>
      <c r="EQ8" s="38" t="e">
        <f>EQ392</f>
        <v>#REF!</v>
      </c>
      <c r="ER8" s="38" t="e">
        <f>ER392</f>
        <v>#REF!</v>
      </c>
      <c r="ES8" s="38" t="e">
        <f>ET8+EU8+EV8</f>
        <v>#REF!</v>
      </c>
      <c r="ET8" s="38" t="e">
        <f>ET25+ET361+ET387+ET385</f>
        <v>#REF!</v>
      </c>
      <c r="EU8" s="38">
        <f>EU25+EU361+EU387</f>
        <v>-200912.7696</v>
      </c>
      <c r="EV8" s="38" t="e">
        <f>EV25+EV361+EV387</f>
        <v>#REF!</v>
      </c>
      <c r="EW8" s="38" t="e">
        <f t="shared" ref="EW8:FB8" si="5">EW392</f>
        <v>#REF!</v>
      </c>
      <c r="EX8" s="38" t="e">
        <f t="shared" si="5"/>
        <v>#REF!</v>
      </c>
      <c r="EY8" s="38" t="e">
        <f t="shared" si="5"/>
        <v>#REF!</v>
      </c>
      <c r="EZ8" s="38" t="e">
        <f t="shared" si="5"/>
        <v>#REF!</v>
      </c>
      <c r="FA8" s="38" t="e">
        <f t="shared" si="5"/>
        <v>#REF!</v>
      </c>
      <c r="FB8" s="38" t="e">
        <f t="shared" si="5"/>
        <v>#REF!</v>
      </c>
      <c r="FC8" s="39">
        <f>FD8+FE8+FF8</f>
        <v>18629561.699999999</v>
      </c>
      <c r="FD8" s="39">
        <f>FD25+FD361+FD387+FD385</f>
        <v>16317010.05641</v>
      </c>
      <c r="FE8" s="39">
        <f>FE25+FE361+FE387+FE385</f>
        <v>438079.28591999999</v>
      </c>
      <c r="FF8" s="39">
        <f>FF25+FF361+FF387+FF385</f>
        <v>1874472.3576700001</v>
      </c>
      <c r="FG8" s="39" t="e">
        <f>FH8+FI8+FJ8</f>
        <v>#REF!</v>
      </c>
      <c r="FH8" s="39" t="e">
        <f>FH25+FH361+FH387</f>
        <v>#REF!</v>
      </c>
      <c r="FI8" s="39">
        <f>FI25+FI361+FI387</f>
        <v>543.61520000000019</v>
      </c>
      <c r="FJ8" s="39">
        <f>FJ25+FJ361+FJ387</f>
        <v>82541.089620000028</v>
      </c>
      <c r="FK8" s="39" t="e">
        <f>FK392</f>
        <v>#REF!</v>
      </c>
      <c r="FL8" s="39" t="e">
        <f>FL392</f>
        <v>#REF!</v>
      </c>
      <c r="FM8" s="39" t="e">
        <f>FM392</f>
        <v>#REF!</v>
      </c>
      <c r="FN8" s="39" t="e">
        <f>FN392</f>
        <v>#REF!</v>
      </c>
      <c r="FO8" s="39">
        <f>FP8+FQ8+FR8</f>
        <v>14697154.79208</v>
      </c>
      <c r="FP8" s="39">
        <f>FP25+FP361+FP387+FP385</f>
        <v>12423217.17331</v>
      </c>
      <c r="FQ8" s="39">
        <f>FQ25+FQ361+FQ387+FQ385</f>
        <v>438622.90111999999</v>
      </c>
      <c r="FR8" s="39">
        <f>FR25+FR361+FR387+FR385</f>
        <v>1835314.7176500002</v>
      </c>
      <c r="FS8" s="39">
        <f>FU8+FW8+FY8</f>
        <v>10844566.673719998</v>
      </c>
      <c r="FT8" s="485">
        <f>FS8/FC8</f>
        <v>0.58211603946216295</v>
      </c>
      <c r="FU8" s="39">
        <f>FU25+FU361+FU387+FU385</f>
        <v>9897223.7479199991</v>
      </c>
      <c r="FV8" s="485">
        <f>FU8/FD8</f>
        <v>0.60655865956471344</v>
      </c>
      <c r="FW8" s="39">
        <f>FW25+FW361+FW387+FW385</f>
        <v>276081.24210999999</v>
      </c>
      <c r="FX8" s="485">
        <f>FW8/FE8</f>
        <v>0.63020839145637364</v>
      </c>
      <c r="FY8" s="39">
        <f>FY25+FY361+FY387+FY385</f>
        <v>671261.68369000009</v>
      </c>
      <c r="FZ8" s="485">
        <f>FY8/FF8</f>
        <v>0.3581070059226637</v>
      </c>
      <c r="GA8" s="39">
        <f>GC8+GE8+GG8</f>
        <v>10214695.388200002</v>
      </c>
      <c r="GB8" s="485">
        <f>GA8/FC8</f>
        <v>0.54830572789052801</v>
      </c>
      <c r="GC8" s="39">
        <f>GC25+GC361+GC387+GC385</f>
        <v>9309475.431520002</v>
      </c>
      <c r="GD8" s="485">
        <f>GC8/FD8</f>
        <v>0.5705380703533276</v>
      </c>
      <c r="GE8" s="39">
        <f>GE25+GE361+GE387+GE385</f>
        <v>231683.27299</v>
      </c>
      <c r="GF8" s="485">
        <f>GE8/FE8</f>
        <v>0.52886151077298127</v>
      </c>
      <c r="GG8" s="39">
        <f>GG25+GG361+GG387+GG385</f>
        <v>673536.68369000009</v>
      </c>
      <c r="GH8" s="485">
        <f>GG8/FF8</f>
        <v>0.35932068079532381</v>
      </c>
      <c r="GI8" s="39">
        <f>GK8+GM8+GO8</f>
        <v>15674568.973869998</v>
      </c>
      <c r="GJ8" s="485">
        <f>GI8/FC8</f>
        <v>0.84138152181379544</v>
      </c>
      <c r="GK8" s="39">
        <f>GK25+GK361+GK387+GK385</f>
        <v>13503814.369009998</v>
      </c>
      <c r="GL8" s="485">
        <f>GK8/FD8</f>
        <v>0.82759122672141383</v>
      </c>
      <c r="GM8" s="39">
        <f>GM25+GM361+GM387+GM385</f>
        <v>305188.26696000004</v>
      </c>
      <c r="GN8" s="485">
        <f>GM8/FE8</f>
        <v>0.69665075882116034</v>
      </c>
      <c r="GO8" s="39">
        <f>GO25+GO361+GO387+GO385</f>
        <v>1865566.3379000002</v>
      </c>
      <c r="GP8" s="485">
        <f>GO8/FF8</f>
        <v>0.99524878575373055</v>
      </c>
      <c r="GQ8" s="38"/>
      <c r="GR8" s="38"/>
      <c r="GS8" s="38"/>
      <c r="GT8" s="38"/>
      <c r="GU8" s="38" t="e">
        <f>GV8+GW8+GX8</f>
        <v>#REF!</v>
      </c>
      <c r="GV8" s="38" t="e">
        <f>GV25+GV361+GV387+GV385</f>
        <v>#REF!</v>
      </c>
      <c r="GW8" s="38">
        <f>GW25+GW361+GW387+GW385</f>
        <v>680085.67045999994</v>
      </c>
      <c r="GX8" s="38" t="e">
        <f>GX25+GX361+GX387+GX385</f>
        <v>#REF!</v>
      </c>
      <c r="GY8" s="38"/>
      <c r="GZ8" s="38"/>
      <c r="HA8" s="38"/>
      <c r="HB8" s="38"/>
      <c r="HC8" s="38"/>
      <c r="HD8" s="38"/>
      <c r="HE8" s="38"/>
      <c r="HF8" s="38"/>
      <c r="HG8" s="38" t="e">
        <f>HH8+HI8+HJ8</f>
        <v>#REF!</v>
      </c>
      <c r="HH8" s="38" t="e">
        <f>HH25+HH361+HH387</f>
        <v>#REF!</v>
      </c>
      <c r="HI8" s="38">
        <f>HI25+HI361+HI387</f>
        <v>0</v>
      </c>
      <c r="HJ8" s="38" t="e">
        <f>HJ25+HJ361+HJ387</f>
        <v>#REF!</v>
      </c>
      <c r="HK8" s="38" t="e">
        <f>HK392</f>
        <v>#REF!</v>
      </c>
      <c r="HL8" s="38" t="e">
        <f>HL392</f>
        <v>#REF!</v>
      </c>
      <c r="HM8" s="38" t="e">
        <f>HM392</f>
        <v>#REF!</v>
      </c>
      <c r="HN8" s="38" t="e">
        <f>HN392</f>
        <v>#REF!</v>
      </c>
      <c r="HO8" s="38" t="e">
        <f>HP8+HQ8+HR8</f>
        <v>#REF!</v>
      </c>
      <c r="HP8" s="38" t="e">
        <f>HP25+HP361+HP387+HP385</f>
        <v>#REF!</v>
      </c>
      <c r="HQ8" s="38">
        <f>HQ25+HQ361+HQ387+HQ385</f>
        <v>680085.67045999994</v>
      </c>
      <c r="HR8" s="38">
        <f>HR25+HR361+HR387+HR385</f>
        <v>1548502.45618</v>
      </c>
      <c r="HS8" s="38" t="e">
        <f>HT8+HU8+HV8</f>
        <v>#REF!</v>
      </c>
      <c r="HT8" s="38" t="e">
        <f>HT25+HT361+HT387+HT385</f>
        <v>#REF!</v>
      </c>
      <c r="HU8" s="38">
        <f>HU25+HU361+HU387+HU385</f>
        <v>876341.19415</v>
      </c>
      <c r="HV8" s="38" t="e">
        <f>HV25+HV361+HV387+HV385</f>
        <v>#REF!</v>
      </c>
      <c r="HW8" s="38" t="e">
        <f>HW392</f>
        <v>#REF!</v>
      </c>
      <c r="HX8" s="38" t="e">
        <f>HX392</f>
        <v>#REF!</v>
      </c>
      <c r="HY8" s="38" t="e">
        <f>HY392</f>
        <v>#REF!</v>
      </c>
      <c r="HZ8" s="38" t="e">
        <f>HZ392</f>
        <v>#REF!</v>
      </c>
      <c r="IA8" s="38" t="e">
        <f>IB8+IC8+ID8</f>
        <v>#REF!</v>
      </c>
      <c r="IB8" s="39" t="e">
        <f>IB25+IB361+IB387+IB385</f>
        <v>#REF!</v>
      </c>
      <c r="IC8" s="39">
        <f>IC25+IC361+IC387+IC385</f>
        <v>876341.19415</v>
      </c>
      <c r="ID8" s="39" t="e">
        <f>ID25+ID361+ID387+ID385</f>
        <v>#REF!</v>
      </c>
      <c r="IE8" s="40"/>
      <c r="IF8" s="41"/>
      <c r="IG8" s="41"/>
      <c r="IH8" s="41"/>
      <c r="II8" s="42"/>
      <c r="IJ8" s="43"/>
      <c r="IK8" s="42"/>
      <c r="IL8" s="42"/>
      <c r="IM8" s="42"/>
      <c r="IN8" s="42"/>
      <c r="IO8" s="42"/>
    </row>
    <row r="9" spans="1:249" s="44" customFormat="1" ht="35.25" hidden="1" customHeight="1" x14ac:dyDescent="0.25">
      <c r="B9" s="720" t="s">
        <v>118</v>
      </c>
      <c r="C9" s="721"/>
      <c r="D9" s="45"/>
      <c r="E9" s="46"/>
      <c r="F9" s="46"/>
      <c r="G9" s="46"/>
      <c r="H9" s="46"/>
      <c r="I9" s="46"/>
      <c r="J9" s="46"/>
      <c r="K9" s="46"/>
      <c r="L9" s="46"/>
      <c r="M9" s="46"/>
      <c r="N9" s="46"/>
      <c r="O9" s="46"/>
      <c r="P9" s="46"/>
      <c r="Q9" s="45"/>
      <c r="R9" s="46"/>
      <c r="S9" s="46"/>
      <c r="T9" s="45"/>
      <c r="U9" s="45"/>
      <c r="V9" s="45"/>
      <c r="W9" s="45"/>
      <c r="X9" s="45"/>
      <c r="Y9" s="45"/>
      <c r="Z9" s="47">
        <v>1</v>
      </c>
      <c r="AA9" s="47" t="e">
        <f>AA8/Z8</f>
        <v>#REF!</v>
      </c>
      <c r="AB9" s="47" t="e">
        <f>AB8/Z8</f>
        <v>#REF!</v>
      </c>
      <c r="AC9" s="47"/>
      <c r="AD9" s="47"/>
      <c r="AE9" s="47"/>
      <c r="AF9" s="47">
        <v>1</v>
      </c>
      <c r="AG9" s="47" t="e">
        <f>AG8/AF8</f>
        <v>#REF!</v>
      </c>
      <c r="AH9" s="47" t="e">
        <f>AH8/AF8</f>
        <v>#REF!</v>
      </c>
      <c r="AI9" s="47"/>
      <c r="AJ9" s="47"/>
      <c r="AK9" s="47"/>
      <c r="AL9" s="47"/>
      <c r="AM9" s="47"/>
      <c r="AN9" s="47"/>
      <c r="AO9" s="48">
        <v>1</v>
      </c>
      <c r="AP9" s="47" t="e">
        <f>AP8/AF8</f>
        <v>#REF!</v>
      </c>
      <c r="AQ9" s="47" t="e">
        <f>AQ8/AF8</f>
        <v>#REF!</v>
      </c>
      <c r="AR9" s="47" t="e">
        <f>AR8/AF8</f>
        <v>#REF!</v>
      </c>
      <c r="AS9" s="47"/>
      <c r="AT9" s="47" t="e">
        <f>AT8/AS8</f>
        <v>#REF!</v>
      </c>
      <c r="AU9" s="47" t="e">
        <f>AU8/AS8</f>
        <v>#REF!</v>
      </c>
      <c r="AV9" s="49"/>
      <c r="AW9" s="49"/>
      <c r="AX9" s="49"/>
      <c r="AY9" s="47"/>
      <c r="AZ9" s="47" t="e">
        <f>AZ8/AY8</f>
        <v>#REF!</v>
      </c>
      <c r="BA9" s="47" t="e">
        <f>BA8/AY8</f>
        <v>#REF!</v>
      </c>
      <c r="BB9" s="49"/>
      <c r="BC9" s="49"/>
      <c r="BD9" s="49"/>
      <c r="BE9" s="49"/>
      <c r="BF9" s="49"/>
      <c r="BG9" s="49"/>
      <c r="BH9" s="47">
        <v>1</v>
      </c>
      <c r="BI9" s="47" t="e">
        <f>BI8/BH8</f>
        <v>#REF!</v>
      </c>
      <c r="BJ9" s="47" t="e">
        <f>BJ8/BH8</f>
        <v>#REF!</v>
      </c>
      <c r="BK9" s="47">
        <v>1</v>
      </c>
      <c r="BL9" s="48">
        <f>7215871.3/7812392.6</f>
        <v>0.92364422392187517</v>
      </c>
      <c r="BM9" s="47" t="e">
        <f>BM8/BH8</f>
        <v>#REF!</v>
      </c>
      <c r="BN9" s="48"/>
      <c r="BO9" s="48"/>
      <c r="BP9" s="47" t="e">
        <f>BP8/BH8</f>
        <v>#REF!</v>
      </c>
      <c r="BQ9" s="48"/>
      <c r="BR9" s="48"/>
      <c r="BS9" s="47" t="e">
        <f>BS8/BH8</f>
        <v>#REF!</v>
      </c>
      <c r="BT9" s="48"/>
      <c r="BU9" s="48"/>
      <c r="BV9" s="47">
        <v>1</v>
      </c>
      <c r="BW9" s="47" t="e">
        <f>BW8/BV8</f>
        <v>#REF!</v>
      </c>
      <c r="BX9" s="47" t="e">
        <f>BX8/BV8</f>
        <v>#REF!</v>
      </c>
      <c r="BY9" s="49"/>
      <c r="BZ9" s="49"/>
      <c r="CA9" s="49"/>
      <c r="CB9" s="50">
        <v>1</v>
      </c>
      <c r="CC9" s="50" t="e">
        <f>CC8/CB8</f>
        <v>#REF!</v>
      </c>
      <c r="CD9" s="50" t="e">
        <f>CD8/CB8</f>
        <v>#REF!</v>
      </c>
      <c r="CE9" s="50">
        <v>1</v>
      </c>
      <c r="CF9" s="50" t="e">
        <f>CF8/CB8</f>
        <v>#REF!</v>
      </c>
      <c r="CG9" s="50"/>
      <c r="CH9" s="50"/>
      <c r="CI9" s="50" t="e">
        <f>CI8/CH8</f>
        <v>#REF!</v>
      </c>
      <c r="CJ9" s="50" t="e">
        <f>CJ8/CH8</f>
        <v>#REF!</v>
      </c>
      <c r="CK9" s="51"/>
      <c r="CL9" s="51"/>
      <c r="CM9" s="51"/>
      <c r="CN9" s="51"/>
      <c r="CO9" s="51"/>
      <c r="CP9" s="51"/>
      <c r="CQ9" s="50">
        <v>1</v>
      </c>
      <c r="CR9" s="50" t="e">
        <f>CR8/CQ8</f>
        <v>#REF!</v>
      </c>
      <c r="CS9" s="50" t="e">
        <f>CS8/CQ8</f>
        <v>#REF!</v>
      </c>
      <c r="CT9" s="50">
        <v>1</v>
      </c>
      <c r="CU9" s="50" t="e">
        <f>CU8/CT8</f>
        <v>#REF!</v>
      </c>
      <c r="CV9" s="50" t="e">
        <f>CV8/CT8</f>
        <v>#REF!</v>
      </c>
      <c r="CW9" s="52"/>
      <c r="CX9" s="52" t="e">
        <f>CX8/CW8</f>
        <v>#REF!</v>
      </c>
      <c r="CY9" s="52" t="e">
        <f>CY8/CW8</f>
        <v>#REF!</v>
      </c>
      <c r="CZ9" s="52"/>
      <c r="DA9" s="52" t="e">
        <f>DA8/CZ8</f>
        <v>#REF!</v>
      </c>
      <c r="DB9" s="52" t="e">
        <f>DB8/CZ8</f>
        <v>#REF!</v>
      </c>
      <c r="DC9" s="52">
        <v>1</v>
      </c>
      <c r="DD9" s="52" t="e">
        <f>DD8/DC8</f>
        <v>#REF!</v>
      </c>
      <c r="DE9" s="52" t="e">
        <f>DE8/DC8</f>
        <v>#REF!</v>
      </c>
      <c r="DF9" s="52"/>
      <c r="DG9" s="52" t="e">
        <f>DG8/DF8</f>
        <v>#REF!</v>
      </c>
      <c r="DH9" s="52" t="e">
        <f>DH8/CY8</f>
        <v>#REF!</v>
      </c>
      <c r="DI9" s="52"/>
      <c r="DJ9" s="52" t="e">
        <f>DJ8/DI8</f>
        <v>#REF!</v>
      </c>
      <c r="DK9" s="52" t="e">
        <f>DK8/DI8</f>
        <v>#REF!</v>
      </c>
      <c r="DL9" s="52" t="e">
        <f>DL8/DI8</f>
        <v>#REF!</v>
      </c>
      <c r="DM9" s="52" t="e">
        <f>DM8/DJ8</f>
        <v>#REF!</v>
      </c>
      <c r="DN9" s="52" t="e">
        <f>DN8/DK8</f>
        <v>#REF!</v>
      </c>
      <c r="DO9" s="52" t="e">
        <f>DO8/DI8</f>
        <v>#REF!</v>
      </c>
      <c r="DP9" s="52" t="e">
        <f>DP8/DJ8</f>
        <v>#REF!</v>
      </c>
      <c r="DQ9" s="52" t="e">
        <f>DQ8/DO8</f>
        <v>#REF!</v>
      </c>
      <c r="DR9" s="52" t="e">
        <f>DR8/DI8</f>
        <v>#REF!</v>
      </c>
      <c r="DS9" s="52" t="e">
        <f>DS8/DJ8</f>
        <v>#REF!</v>
      </c>
      <c r="DT9" s="52" t="e">
        <f>DT8/DK8</f>
        <v>#REF!</v>
      </c>
      <c r="DU9" s="52"/>
      <c r="DV9" s="52" t="e">
        <f>DV8/DU8</f>
        <v>#REF!</v>
      </c>
      <c r="DW9" s="52" t="e">
        <f>DW8/DU8</f>
        <v>#REF!</v>
      </c>
      <c r="DX9" s="52">
        <v>1</v>
      </c>
      <c r="DY9" s="52" t="e">
        <f>DY8/DX8</f>
        <v>#REF!</v>
      </c>
      <c r="DZ9" s="52" t="e">
        <f>DZ8/DX8</f>
        <v>#REF!</v>
      </c>
      <c r="EA9" s="52">
        <v>1</v>
      </c>
      <c r="EB9" s="52" t="e">
        <f>EB8/EA8</f>
        <v>#REF!</v>
      </c>
      <c r="EC9" s="52" t="e">
        <f>EC8/EA8</f>
        <v>#REF!</v>
      </c>
      <c r="ED9" s="52"/>
      <c r="EE9" s="52" t="e">
        <f>EE8/ED8</f>
        <v>#REF!</v>
      </c>
      <c r="EF9" s="52" t="e">
        <f>EF8/ED8</f>
        <v>#REF!</v>
      </c>
      <c r="EG9" s="53"/>
      <c r="EH9" s="53" t="e">
        <f>EH8/EG8</f>
        <v>#REF!</v>
      </c>
      <c r="EI9" s="53"/>
      <c r="EJ9" s="53" t="e">
        <f>EJ8/EG8</f>
        <v>#REF!</v>
      </c>
      <c r="EK9" s="53"/>
      <c r="EL9" s="53" t="e">
        <f>EL8/EK8</f>
        <v>#REF!</v>
      </c>
      <c r="EM9" s="53"/>
      <c r="EN9" s="53" t="e">
        <f>EN8/EK8</f>
        <v>#REF!</v>
      </c>
      <c r="EO9" s="53"/>
      <c r="EP9" s="53" t="e">
        <f>EP8/EO8</f>
        <v>#REF!</v>
      </c>
      <c r="EQ9" s="53"/>
      <c r="ER9" s="53" t="e">
        <f>ER8/EO8</f>
        <v>#REF!</v>
      </c>
      <c r="ES9" s="53"/>
      <c r="ET9" s="53" t="e">
        <f>ET8/ES8</f>
        <v>#REF!</v>
      </c>
      <c r="EU9" s="53"/>
      <c r="EV9" s="53" t="e">
        <f>EV8/ES8</f>
        <v>#REF!</v>
      </c>
      <c r="EW9" s="53"/>
      <c r="EX9" s="53" t="e">
        <f>EX8/EW8</f>
        <v>#REF!</v>
      </c>
      <c r="EY9" s="53" t="e">
        <f>EY8/EW8</f>
        <v>#REF!</v>
      </c>
      <c r="EZ9" s="53"/>
      <c r="FA9" s="53" t="e">
        <f>FA8/EZ8</f>
        <v>#REF!</v>
      </c>
      <c r="FB9" s="53" t="e">
        <f>FB8/EZ8</f>
        <v>#REF!</v>
      </c>
      <c r="FC9" s="628"/>
      <c r="FD9" s="628">
        <f>FD8/FC8</f>
        <v>0.87586655656047996</v>
      </c>
      <c r="FE9" s="628"/>
      <c r="FF9" s="628">
        <f>FF8/FC8</f>
        <v>0.1006181673973575</v>
      </c>
      <c r="FG9" s="628"/>
      <c r="FH9" s="628" t="e">
        <f>FH8/FG8</f>
        <v>#REF!</v>
      </c>
      <c r="FI9" s="628"/>
      <c r="FJ9" s="628" t="e">
        <f>FJ8/FG8</f>
        <v>#REF!</v>
      </c>
      <c r="FK9" s="628"/>
      <c r="FL9" s="628" t="e">
        <f>FL8/FK8</f>
        <v>#REF!</v>
      </c>
      <c r="FM9" s="628"/>
      <c r="FN9" s="628" t="e">
        <f>FN8/FK8</f>
        <v>#REF!</v>
      </c>
      <c r="FO9" s="628"/>
      <c r="FP9" s="628">
        <f>FP8/FO8</f>
        <v>0.84528041985409452</v>
      </c>
      <c r="FQ9" s="628"/>
      <c r="FR9" s="628">
        <f>FR8/FO8</f>
        <v>0.12487551118662873</v>
      </c>
      <c r="FS9" s="628">
        <f t="shared" ref="FS9:FS23" si="6">FU9+FW9+FY9</f>
        <v>18108821.516178619</v>
      </c>
      <c r="FT9" s="517" t="e">
        <f t="shared" ref="FT9:FT29" si="7">FS9/FC9</f>
        <v>#DIV/0!</v>
      </c>
      <c r="FU9" s="628">
        <f>FU8/FT8</f>
        <v>17002149.188440822</v>
      </c>
      <c r="FV9" s="517">
        <f t="shared" ref="FV9:FV23" si="8">FU9/FD9</f>
        <v>19411803.157787081</v>
      </c>
      <c r="FW9" s="628"/>
      <c r="FX9" s="517" t="e">
        <f>FW9/FE9</f>
        <v>#DIV/0!</v>
      </c>
      <c r="FY9" s="628">
        <f>FY8/FV8</f>
        <v>1106672.3277377982</v>
      </c>
      <c r="FZ9" s="517">
        <f t="shared" ref="FZ9:FZ21" si="9">FY9/FF9</f>
        <v>10998732.697718188</v>
      </c>
      <c r="GA9" s="628">
        <f t="shared" ref="GA9:GA23" si="10">GC9+GE9+GG9</f>
        <v>18159150.426175319</v>
      </c>
      <c r="GB9" s="517" t="e">
        <f t="shared" ref="GB9:GB23" si="11">GA9/FC9</f>
        <v>#DIV/0!</v>
      </c>
      <c r="GC9" s="628">
        <f>GC8/GB8</f>
        <v>16978621.520763475</v>
      </c>
      <c r="GD9" s="517">
        <f t="shared" ref="GD9:GD23" si="12">GC9/FD9</f>
        <v>19384940.997677054</v>
      </c>
      <c r="GE9" s="628"/>
      <c r="GF9" s="517" t="e">
        <f>GE9/FE9</f>
        <v>#DIV/0!</v>
      </c>
      <c r="GG9" s="628">
        <f>GG8/GD8</f>
        <v>1180528.9054118451</v>
      </c>
      <c r="GH9" s="517">
        <f t="shared" ref="GH9:GH21" si="13">GG9/FF9</f>
        <v>11732760.951108804</v>
      </c>
      <c r="GI9" s="628">
        <f t="shared" ref="GI9:GI23" si="14">GK9+GM9+GO9</f>
        <v>18303785.57254586</v>
      </c>
      <c r="GJ9" s="517" t="e">
        <f t="shared" ref="GJ9:GJ23" si="15">GI9/FC9</f>
        <v>#DIV/0!</v>
      </c>
      <c r="GK9" s="628">
        <f>GK8/GJ8</f>
        <v>16049573.254115868</v>
      </c>
      <c r="GL9" s="517">
        <f t="shared" ref="GL9:GL23" si="16">GK9/FD9</f>
        <v>18324222.033482358</v>
      </c>
      <c r="GM9" s="628"/>
      <c r="GN9" s="485" t="e">
        <f>GM9/FE9</f>
        <v>#DIV/0!</v>
      </c>
      <c r="GO9" s="628">
        <f>GO8/GL8</f>
        <v>2254212.318429993</v>
      </c>
      <c r="GP9" s="517">
        <f t="shared" ref="GP9:GP19" si="17">GO9/FF9</f>
        <v>22403631.240149129</v>
      </c>
      <c r="GQ9" s="53"/>
      <c r="GR9" s="53"/>
      <c r="GS9" s="53"/>
      <c r="GT9" s="53"/>
      <c r="GU9" s="53"/>
      <c r="GV9" s="53" t="e">
        <f>GV8/GU8</f>
        <v>#REF!</v>
      </c>
      <c r="GW9" s="53"/>
      <c r="GX9" s="53" t="e">
        <f>GX8/GU8</f>
        <v>#REF!</v>
      </c>
      <c r="GY9" s="53"/>
      <c r="GZ9" s="53"/>
      <c r="HA9" s="53"/>
      <c r="HB9" s="53"/>
      <c r="HC9" s="53"/>
      <c r="HD9" s="53"/>
      <c r="HE9" s="53"/>
      <c r="HF9" s="53"/>
      <c r="HG9" s="53"/>
      <c r="HH9" s="53" t="e">
        <f>HH8/HG8</f>
        <v>#REF!</v>
      </c>
      <c r="HI9" s="53"/>
      <c r="HJ9" s="53" t="e">
        <f>HJ8/HG8</f>
        <v>#REF!</v>
      </c>
      <c r="HK9" s="53"/>
      <c r="HL9" s="53" t="e">
        <f>HL8/HK8</f>
        <v>#REF!</v>
      </c>
      <c r="HM9" s="53"/>
      <c r="HN9" s="53" t="e">
        <f>HN8/HK8</f>
        <v>#REF!</v>
      </c>
      <c r="HO9" s="53"/>
      <c r="HP9" s="53" t="e">
        <f>HP8/HO8</f>
        <v>#REF!</v>
      </c>
      <c r="HQ9" s="53"/>
      <c r="HR9" s="53" t="e">
        <f>HR8/HO8</f>
        <v>#REF!</v>
      </c>
      <c r="HS9" s="53"/>
      <c r="HT9" s="53" t="e">
        <f>HT8/HS8</f>
        <v>#REF!</v>
      </c>
      <c r="HU9" s="53"/>
      <c r="HV9" s="53" t="e">
        <f>HV8/HS8</f>
        <v>#REF!</v>
      </c>
      <c r="HW9" s="53"/>
      <c r="HX9" s="53" t="e">
        <f>HX8/HW8</f>
        <v>#REF!</v>
      </c>
      <c r="HY9" s="53"/>
      <c r="HZ9" s="53" t="e">
        <f>HZ8/HW8</f>
        <v>#REF!</v>
      </c>
      <c r="IA9" s="53"/>
      <c r="IB9" s="53" t="e">
        <f>IB8/IA8</f>
        <v>#REF!</v>
      </c>
      <c r="IC9" s="53"/>
      <c r="ID9" s="53" t="e">
        <f>ID8/IA8</f>
        <v>#REF!</v>
      </c>
      <c r="IE9" s="54"/>
      <c r="IF9" s="41"/>
      <c r="IG9" s="55"/>
      <c r="IH9" s="55"/>
      <c r="II9" s="56"/>
      <c r="IJ9" s="56"/>
      <c r="IK9" s="56"/>
      <c r="IL9" s="56"/>
      <c r="IM9" s="56"/>
      <c r="IN9" s="56"/>
      <c r="IO9" s="56"/>
    </row>
    <row r="10" spans="1:249" s="32" customFormat="1" ht="35.25" customHeight="1" x14ac:dyDescent="0.25">
      <c r="B10" s="722" t="s">
        <v>119</v>
      </c>
      <c r="C10" s="723"/>
      <c r="D10" s="57"/>
      <c r="E10" s="58"/>
      <c r="F10" s="58"/>
      <c r="G10" s="58"/>
      <c r="H10" s="58"/>
      <c r="I10" s="58"/>
      <c r="J10" s="58"/>
      <c r="K10" s="58"/>
      <c r="L10" s="58"/>
      <c r="M10" s="58"/>
      <c r="N10" s="58"/>
      <c r="O10" s="58"/>
      <c r="P10" s="58"/>
      <c r="Q10" s="57"/>
      <c r="R10" s="58"/>
      <c r="S10" s="58"/>
      <c r="T10" s="57"/>
      <c r="U10" s="57"/>
      <c r="V10" s="57"/>
      <c r="W10" s="57"/>
      <c r="X10" s="57"/>
      <c r="Y10" s="57"/>
      <c r="Z10" s="59" t="e">
        <f t="shared" ref="Z10:AN10" si="18">Z355+Z361</f>
        <v>#REF!</v>
      </c>
      <c r="AA10" s="59" t="e">
        <f t="shared" si="18"/>
        <v>#REF!</v>
      </c>
      <c r="AB10" s="59" t="e">
        <f t="shared" si="18"/>
        <v>#REF!</v>
      </c>
      <c r="AC10" s="59" t="e">
        <f t="shared" si="18"/>
        <v>#REF!</v>
      </c>
      <c r="AD10" s="59" t="e">
        <f t="shared" si="18"/>
        <v>#REF!</v>
      </c>
      <c r="AE10" s="59" t="e">
        <f t="shared" si="18"/>
        <v>#REF!</v>
      </c>
      <c r="AF10" s="59" t="e">
        <f t="shared" si="18"/>
        <v>#REF!</v>
      </c>
      <c r="AG10" s="59" t="e">
        <f t="shared" si="18"/>
        <v>#REF!</v>
      </c>
      <c r="AH10" s="59" t="e">
        <f t="shared" si="18"/>
        <v>#REF!</v>
      </c>
      <c r="AI10" s="59" t="e">
        <f t="shared" si="18"/>
        <v>#REF!</v>
      </c>
      <c r="AJ10" s="59" t="e">
        <f t="shared" si="18"/>
        <v>#REF!</v>
      </c>
      <c r="AK10" s="59" t="e">
        <f t="shared" si="18"/>
        <v>#REF!</v>
      </c>
      <c r="AL10" s="59" t="e">
        <f t="shared" si="18"/>
        <v>#REF!</v>
      </c>
      <c r="AM10" s="59" t="e">
        <f t="shared" si="18"/>
        <v>#REF!</v>
      </c>
      <c r="AN10" s="59" t="e">
        <f t="shared" si="18"/>
        <v>#REF!</v>
      </c>
      <c r="AO10" s="60">
        <v>1</v>
      </c>
      <c r="AP10" s="59" t="e">
        <f t="shared" ref="AP10:BJ10" si="19">AP355+AP361</f>
        <v>#REF!</v>
      </c>
      <c r="AQ10" s="59" t="e">
        <f t="shared" si="19"/>
        <v>#REF!</v>
      </c>
      <c r="AR10" s="59" t="e">
        <f t="shared" si="19"/>
        <v>#REF!</v>
      </c>
      <c r="AS10" s="59" t="e">
        <f t="shared" si="19"/>
        <v>#REF!</v>
      </c>
      <c r="AT10" s="59" t="e">
        <f t="shared" si="19"/>
        <v>#REF!</v>
      </c>
      <c r="AU10" s="59" t="e">
        <f t="shared" si="19"/>
        <v>#REF!</v>
      </c>
      <c r="AV10" s="59" t="e">
        <f t="shared" si="19"/>
        <v>#REF!</v>
      </c>
      <c r="AW10" s="59" t="e">
        <f t="shared" si="19"/>
        <v>#REF!</v>
      </c>
      <c r="AX10" s="59" t="e">
        <f t="shared" si="19"/>
        <v>#REF!</v>
      </c>
      <c r="AY10" s="59" t="e">
        <f t="shared" si="19"/>
        <v>#REF!</v>
      </c>
      <c r="AZ10" s="59" t="e">
        <f t="shared" si="19"/>
        <v>#REF!</v>
      </c>
      <c r="BA10" s="59" t="e">
        <f t="shared" si="19"/>
        <v>#REF!</v>
      </c>
      <c r="BB10" s="59" t="e">
        <f t="shared" si="19"/>
        <v>#REF!</v>
      </c>
      <c r="BC10" s="59" t="e">
        <f t="shared" si="19"/>
        <v>#REF!</v>
      </c>
      <c r="BD10" s="59" t="e">
        <f t="shared" si="19"/>
        <v>#REF!</v>
      </c>
      <c r="BE10" s="59" t="e">
        <f t="shared" si="19"/>
        <v>#REF!</v>
      </c>
      <c r="BF10" s="59" t="e">
        <f t="shared" si="19"/>
        <v>#REF!</v>
      </c>
      <c r="BG10" s="59" t="e">
        <f t="shared" si="19"/>
        <v>#REF!</v>
      </c>
      <c r="BH10" s="59" t="e">
        <f t="shared" si="19"/>
        <v>#REF!</v>
      </c>
      <c r="BI10" s="59" t="e">
        <f t="shared" si="19"/>
        <v>#REF!</v>
      </c>
      <c r="BJ10" s="59" t="e">
        <f t="shared" si="19"/>
        <v>#REF!</v>
      </c>
      <c r="BK10" s="61">
        <v>1</v>
      </c>
      <c r="BL10" s="59" t="e">
        <f t="shared" ref="BL10:CD10" si="20">BL355+BL361</f>
        <v>#REF!</v>
      </c>
      <c r="BM10" s="59" t="e">
        <f t="shared" si="20"/>
        <v>#REF!</v>
      </c>
      <c r="BN10" s="59" t="e">
        <f t="shared" si="20"/>
        <v>#REF!</v>
      </c>
      <c r="BO10" s="59" t="e">
        <f t="shared" si="20"/>
        <v>#REF!</v>
      </c>
      <c r="BP10" s="59" t="e">
        <f t="shared" si="20"/>
        <v>#REF!</v>
      </c>
      <c r="BQ10" s="59" t="e">
        <f t="shared" si="20"/>
        <v>#REF!</v>
      </c>
      <c r="BR10" s="59" t="e">
        <f t="shared" si="20"/>
        <v>#REF!</v>
      </c>
      <c r="BS10" s="59" t="e">
        <f t="shared" si="20"/>
        <v>#REF!</v>
      </c>
      <c r="BT10" s="59" t="e">
        <f t="shared" si="20"/>
        <v>#REF!</v>
      </c>
      <c r="BU10" s="59" t="e">
        <f t="shared" si="20"/>
        <v>#REF!</v>
      </c>
      <c r="BV10" s="59" t="e">
        <f t="shared" si="20"/>
        <v>#REF!</v>
      </c>
      <c r="BW10" s="59" t="e">
        <f t="shared" si="20"/>
        <v>#REF!</v>
      </c>
      <c r="BX10" s="59" t="e">
        <f t="shared" si="20"/>
        <v>#REF!</v>
      </c>
      <c r="BY10" s="59" t="e">
        <f t="shared" si="20"/>
        <v>#REF!</v>
      </c>
      <c r="BZ10" s="59" t="e">
        <f t="shared" si="20"/>
        <v>#REF!</v>
      </c>
      <c r="CA10" s="59" t="e">
        <f t="shared" si="20"/>
        <v>#REF!</v>
      </c>
      <c r="CB10" s="59" t="e">
        <f t="shared" si="20"/>
        <v>#REF!</v>
      </c>
      <c r="CC10" s="59" t="e">
        <f t="shared" si="20"/>
        <v>#REF!</v>
      </c>
      <c r="CD10" s="59" t="e">
        <f t="shared" si="20"/>
        <v>#REF!</v>
      </c>
      <c r="CE10" s="59">
        <v>1</v>
      </c>
      <c r="CF10" s="59" t="e">
        <f>CF355+CF361</f>
        <v>#REF!</v>
      </c>
      <c r="CG10" s="59"/>
      <c r="CH10" s="59" t="e">
        <f t="shared" ref="CH10:DH10" si="21">CH355+CH361</f>
        <v>#REF!</v>
      </c>
      <c r="CI10" s="59" t="e">
        <f t="shared" si="21"/>
        <v>#REF!</v>
      </c>
      <c r="CJ10" s="59" t="e">
        <f t="shared" si="21"/>
        <v>#REF!</v>
      </c>
      <c r="CK10" s="59" t="e">
        <f t="shared" si="21"/>
        <v>#REF!</v>
      </c>
      <c r="CL10" s="59" t="e">
        <f t="shared" si="21"/>
        <v>#REF!</v>
      </c>
      <c r="CM10" s="59" t="e">
        <f t="shared" si="21"/>
        <v>#REF!</v>
      </c>
      <c r="CN10" s="59">
        <f t="shared" si="21"/>
        <v>0</v>
      </c>
      <c r="CO10" s="59">
        <f t="shared" si="21"/>
        <v>0</v>
      </c>
      <c r="CP10" s="59">
        <f t="shared" si="21"/>
        <v>0</v>
      </c>
      <c r="CQ10" s="59" t="e">
        <f t="shared" si="21"/>
        <v>#REF!</v>
      </c>
      <c r="CR10" s="59" t="e">
        <f t="shared" si="21"/>
        <v>#REF!</v>
      </c>
      <c r="CS10" s="59" t="e">
        <f t="shared" si="21"/>
        <v>#REF!</v>
      </c>
      <c r="CT10" s="59" t="e">
        <f t="shared" si="21"/>
        <v>#REF!</v>
      </c>
      <c r="CU10" s="59" t="e">
        <f t="shared" si="21"/>
        <v>#REF!</v>
      </c>
      <c r="CV10" s="59" t="e">
        <f t="shared" si="21"/>
        <v>#REF!</v>
      </c>
      <c r="CW10" s="62" t="e">
        <f t="shared" si="21"/>
        <v>#REF!</v>
      </c>
      <c r="CX10" s="62" t="e">
        <f t="shared" si="21"/>
        <v>#REF!</v>
      </c>
      <c r="CY10" s="62" t="e">
        <f t="shared" si="21"/>
        <v>#REF!</v>
      </c>
      <c r="CZ10" s="62" t="e">
        <f t="shared" si="21"/>
        <v>#REF!</v>
      </c>
      <c r="DA10" s="62" t="e">
        <f t="shared" si="21"/>
        <v>#REF!</v>
      </c>
      <c r="DB10" s="62" t="e">
        <f t="shared" si="21"/>
        <v>#REF!</v>
      </c>
      <c r="DC10" s="62">
        <f t="shared" si="21"/>
        <v>728505.35064000008</v>
      </c>
      <c r="DD10" s="62">
        <f t="shared" si="21"/>
        <v>348155.35063999996</v>
      </c>
      <c r="DE10" s="62">
        <f t="shared" si="21"/>
        <v>380350</v>
      </c>
      <c r="DF10" s="62" t="e">
        <f t="shared" si="21"/>
        <v>#REF!</v>
      </c>
      <c r="DG10" s="62" t="e">
        <f t="shared" si="21"/>
        <v>#REF!</v>
      </c>
      <c r="DH10" s="62" t="e">
        <f t="shared" si="21"/>
        <v>#REF!</v>
      </c>
      <c r="DI10" s="62" t="e">
        <f>DI355+DI361-0.1</f>
        <v>#REF!</v>
      </c>
      <c r="DJ10" s="62" t="e">
        <f t="shared" ref="DJ10:EF10" si="22">DJ355+DJ361</f>
        <v>#REF!</v>
      </c>
      <c r="DK10" s="62" t="e">
        <f t="shared" si="22"/>
        <v>#REF!</v>
      </c>
      <c r="DL10" s="62" t="e">
        <f t="shared" si="22"/>
        <v>#REF!</v>
      </c>
      <c r="DM10" s="62" t="e">
        <f t="shared" si="22"/>
        <v>#REF!</v>
      </c>
      <c r="DN10" s="62" t="e">
        <f t="shared" si="22"/>
        <v>#REF!</v>
      </c>
      <c r="DO10" s="62" t="e">
        <f t="shared" si="22"/>
        <v>#REF!</v>
      </c>
      <c r="DP10" s="62" t="e">
        <f t="shared" si="22"/>
        <v>#REF!</v>
      </c>
      <c r="DQ10" s="62" t="e">
        <f t="shared" si="22"/>
        <v>#REF!</v>
      </c>
      <c r="DR10" s="62" t="e">
        <f t="shared" si="22"/>
        <v>#REF!</v>
      </c>
      <c r="DS10" s="62" t="e">
        <f t="shared" si="22"/>
        <v>#REF!</v>
      </c>
      <c r="DT10" s="62" t="e">
        <f t="shared" si="22"/>
        <v>#REF!</v>
      </c>
      <c r="DU10" s="62" t="e">
        <f t="shared" si="22"/>
        <v>#REF!</v>
      </c>
      <c r="DV10" s="62" t="e">
        <f t="shared" si="22"/>
        <v>#REF!</v>
      </c>
      <c r="DW10" s="62" t="e">
        <f t="shared" si="22"/>
        <v>#REF!</v>
      </c>
      <c r="DX10" s="62" t="e">
        <f t="shared" si="22"/>
        <v>#REF!</v>
      </c>
      <c r="DY10" s="62" t="e">
        <f t="shared" si="22"/>
        <v>#REF!</v>
      </c>
      <c r="DZ10" s="62" t="e">
        <f t="shared" si="22"/>
        <v>#REF!</v>
      </c>
      <c r="EA10" s="62">
        <f t="shared" si="22"/>
        <v>1170129.6810599999</v>
      </c>
      <c r="EB10" s="62">
        <f t="shared" si="22"/>
        <v>726987.68105999997</v>
      </c>
      <c r="EC10" s="62">
        <f t="shared" si="22"/>
        <v>443142</v>
      </c>
      <c r="ED10" s="62" t="e">
        <f t="shared" si="22"/>
        <v>#REF!</v>
      </c>
      <c r="EE10" s="62" t="e">
        <f t="shared" si="22"/>
        <v>#REF!</v>
      </c>
      <c r="EF10" s="62" t="e">
        <f t="shared" si="22"/>
        <v>#REF!</v>
      </c>
      <c r="EG10" s="62" t="e">
        <f>EH10+EI10+EJ10</f>
        <v>#REF!</v>
      </c>
      <c r="EH10" s="62" t="e">
        <f>EH11+EH12</f>
        <v>#REF!</v>
      </c>
      <c r="EI10" s="62">
        <f>EI11+EI12</f>
        <v>639535.67071999994</v>
      </c>
      <c r="EJ10" s="62" t="e">
        <f>EJ11+EJ12</f>
        <v>#REF!</v>
      </c>
      <c r="EK10" s="62" t="e">
        <f>EL10+EM10+EN10</f>
        <v>#REF!</v>
      </c>
      <c r="EL10" s="62" t="e">
        <f>EL11+EL12</f>
        <v>#REF!</v>
      </c>
      <c r="EM10" s="62" t="e">
        <f>EM11+EM12</f>
        <v>#REF!</v>
      </c>
      <c r="EN10" s="62" t="e">
        <f>EN11+EN12</f>
        <v>#REF!</v>
      </c>
      <c r="EO10" s="62" t="e">
        <f>EO355+EO361</f>
        <v>#REF!</v>
      </c>
      <c r="EP10" s="62" t="e">
        <f>EP355+EP361</f>
        <v>#REF!</v>
      </c>
      <c r="EQ10" s="62" t="e">
        <f>EQ355+EQ361</f>
        <v>#REF!</v>
      </c>
      <c r="ER10" s="62" t="e">
        <f>ER355+ER361</f>
        <v>#REF!</v>
      </c>
      <c r="ES10" s="62" t="e">
        <f>ET10+EU10+EV10</f>
        <v>#REF!</v>
      </c>
      <c r="ET10" s="62" t="e">
        <f>ET11+ET12</f>
        <v>#REF!</v>
      </c>
      <c r="EU10" s="62">
        <f>EU11+EU12</f>
        <v>-200912.7696</v>
      </c>
      <c r="EV10" s="62" t="e">
        <f>EV11+EV12</f>
        <v>#REF!</v>
      </c>
      <c r="EW10" s="62" t="e">
        <f t="shared" ref="EW10:FB10" si="23">EW355+EW361</f>
        <v>#REF!</v>
      </c>
      <c r="EX10" s="62" t="e">
        <f t="shared" si="23"/>
        <v>#REF!</v>
      </c>
      <c r="EY10" s="62" t="e">
        <f t="shared" si="23"/>
        <v>#REF!</v>
      </c>
      <c r="EZ10" s="62" t="e">
        <f t="shared" si="23"/>
        <v>#REF!</v>
      </c>
      <c r="FA10" s="62" t="e">
        <f t="shared" si="23"/>
        <v>#REF!</v>
      </c>
      <c r="FB10" s="62">
        <f t="shared" si="23"/>
        <v>260607.51318000001</v>
      </c>
      <c r="FC10" s="84">
        <f>FD10+FE10+FF10</f>
        <v>18603061.700000003</v>
      </c>
      <c r="FD10" s="84">
        <f>FD11+FD12</f>
        <v>16297088.056410002</v>
      </c>
      <c r="FE10" s="84">
        <f>FE11+FE12</f>
        <v>438079.28591999999</v>
      </c>
      <c r="FF10" s="84">
        <f>FF11+FF12</f>
        <v>1867894.3576700001</v>
      </c>
      <c r="FG10" s="84" t="e">
        <f>FH10+FI10+FJ10</f>
        <v>#REF!</v>
      </c>
      <c r="FH10" s="84" t="e">
        <f>FH11+FH12</f>
        <v>#REF!</v>
      </c>
      <c r="FI10" s="84">
        <f>FI11+FI12</f>
        <v>543.61520000000019</v>
      </c>
      <c r="FJ10" s="84">
        <f>FJ11+FJ12</f>
        <v>82541.089620000028</v>
      </c>
      <c r="FK10" s="84" t="e">
        <f>FK355+FK361</f>
        <v>#REF!</v>
      </c>
      <c r="FL10" s="84" t="e">
        <f>FL355+FL361</f>
        <v>#REF!</v>
      </c>
      <c r="FM10" s="84" t="e">
        <f>FM355+FM361</f>
        <v>#REF!</v>
      </c>
      <c r="FN10" s="84" t="e">
        <f>FN355+FN361</f>
        <v>#REF!</v>
      </c>
      <c r="FO10" s="84">
        <f>FP10+FQ10+FR10</f>
        <v>14670732.792080002</v>
      </c>
      <c r="FP10" s="84">
        <f>FP11+FP12</f>
        <v>12403295.173310002</v>
      </c>
      <c r="FQ10" s="84">
        <f>FQ11+FQ12</f>
        <v>438622.90111999999</v>
      </c>
      <c r="FR10" s="84">
        <f>FR11+FR12</f>
        <v>1828814.7176500002</v>
      </c>
      <c r="FS10" s="84">
        <f t="shared" si="6"/>
        <v>10836004.803770002</v>
      </c>
      <c r="FT10" s="486">
        <f t="shared" si="7"/>
        <v>0.58248502200957597</v>
      </c>
      <c r="FU10" s="84">
        <f>FU11+FU12</f>
        <v>9892964.8779700007</v>
      </c>
      <c r="FV10" s="486">
        <f t="shared" si="8"/>
        <v>0.60703880617978745</v>
      </c>
      <c r="FW10" s="84">
        <f>FW11+FW12</f>
        <v>276081.24210999999</v>
      </c>
      <c r="FX10" s="486">
        <f>FW10/FE10</f>
        <v>0.63020839145637364</v>
      </c>
      <c r="FY10" s="84">
        <f>FY11+FY12</f>
        <v>666958.68369000009</v>
      </c>
      <c r="FZ10" s="486">
        <f t="shared" si="9"/>
        <v>0.35706445653701757</v>
      </c>
      <c r="GA10" s="84">
        <f t="shared" si="10"/>
        <v>10203858.51825</v>
      </c>
      <c r="GB10" s="486">
        <f t="shared" si="11"/>
        <v>0.5485042560628608</v>
      </c>
      <c r="GC10" s="84">
        <f>GC11+GC12</f>
        <v>9305216.5615699999</v>
      </c>
      <c r="GD10" s="486">
        <f t="shared" si="12"/>
        <v>0.57097418442861358</v>
      </c>
      <c r="GE10" s="84">
        <f>GE11+GE12</f>
        <v>231683.27299</v>
      </c>
      <c r="GF10" s="486">
        <f>GE10/FE10</f>
        <v>0.52886151077298127</v>
      </c>
      <c r="GG10" s="84">
        <f>GG11+GG12</f>
        <v>666958.68369000009</v>
      </c>
      <c r="GH10" s="486">
        <f t="shared" si="13"/>
        <v>0.35706445653701757</v>
      </c>
      <c r="GI10" s="84">
        <f t="shared" si="14"/>
        <v>15663732.10392</v>
      </c>
      <c r="GJ10" s="486">
        <f t="shared" si="15"/>
        <v>0.84199753548739764</v>
      </c>
      <c r="GK10" s="84">
        <f>GK11+GK12</f>
        <v>13499555.499059999</v>
      </c>
      <c r="GL10" s="486">
        <f t="shared" si="16"/>
        <v>0.82834156950819993</v>
      </c>
      <c r="GM10" s="84">
        <f>GM11+GM12</f>
        <v>305188.26696000004</v>
      </c>
      <c r="GN10" s="485">
        <f>GM10/FE10</f>
        <v>0.69665075882116034</v>
      </c>
      <c r="GO10" s="84">
        <f>GO11+GO12</f>
        <v>1858988.3379000004</v>
      </c>
      <c r="GP10" s="486">
        <f t="shared" si="17"/>
        <v>0.99523205381855273</v>
      </c>
      <c r="GQ10" s="62"/>
      <c r="GR10" s="62"/>
      <c r="GS10" s="62"/>
      <c r="GT10" s="62"/>
      <c r="GU10" s="62" t="e">
        <f>GV10+GW10+GX10</f>
        <v>#REF!</v>
      </c>
      <c r="GV10" s="62" t="e">
        <f>GV11+GV12</f>
        <v>#REF!</v>
      </c>
      <c r="GW10" s="62">
        <f>GW11+GW12</f>
        <v>680085.67045999994</v>
      </c>
      <c r="GX10" s="62" t="e">
        <f>GX11+GX12</f>
        <v>#REF!</v>
      </c>
      <c r="GY10" s="62"/>
      <c r="GZ10" s="62"/>
      <c r="HA10" s="62"/>
      <c r="HB10" s="62"/>
      <c r="HC10" s="62"/>
      <c r="HD10" s="62"/>
      <c r="HE10" s="62"/>
      <c r="HF10" s="62"/>
      <c r="HG10" s="62" t="e">
        <f>HH10+HI10+HJ10</f>
        <v>#REF!</v>
      </c>
      <c r="HH10" s="62" t="e">
        <f>HH11+HH12</f>
        <v>#REF!</v>
      </c>
      <c r="HI10" s="62">
        <f>HI11+HI12</f>
        <v>0</v>
      </c>
      <c r="HJ10" s="62" t="e">
        <f>HJ11+HJ12</f>
        <v>#REF!</v>
      </c>
      <c r="HK10" s="62" t="e">
        <f>HK355+HK361</f>
        <v>#REF!</v>
      </c>
      <c r="HL10" s="62" t="e">
        <f>HL11+HL12</f>
        <v>#REF!</v>
      </c>
      <c r="HM10" s="62">
        <f>HM11+HM12</f>
        <v>0</v>
      </c>
      <c r="HN10" s="62" t="e">
        <f>HN11+HN12</f>
        <v>#REF!</v>
      </c>
      <c r="HO10" s="62" t="e">
        <f>HP10+HQ10+HR10</f>
        <v>#REF!</v>
      </c>
      <c r="HP10" s="62" t="e">
        <f>HP11+HP12</f>
        <v>#REF!</v>
      </c>
      <c r="HQ10" s="62">
        <f>HQ11+HQ12</f>
        <v>680085.67045999994</v>
      </c>
      <c r="HR10" s="62">
        <f>HR11+HR12</f>
        <v>1548502.45618</v>
      </c>
      <c r="HS10" s="62" t="e">
        <f>HT10+HU10+HV10</f>
        <v>#REF!</v>
      </c>
      <c r="HT10" s="62" t="e">
        <f>HT11+HT12</f>
        <v>#REF!</v>
      </c>
      <c r="HU10" s="62">
        <f>HU11+HU12</f>
        <v>876341.19415</v>
      </c>
      <c r="HV10" s="62" t="e">
        <f>HV11+HV12</f>
        <v>#REF!</v>
      </c>
      <c r="HW10" s="62" t="e">
        <f>HW355+HW361</f>
        <v>#REF!</v>
      </c>
      <c r="HX10" s="62" t="e">
        <f>HX355+HX361</f>
        <v>#REF!</v>
      </c>
      <c r="HY10" s="62">
        <f>HY355+HY361</f>
        <v>0</v>
      </c>
      <c r="HZ10" s="62" t="e">
        <f>HZ355+HZ361</f>
        <v>#REF!</v>
      </c>
      <c r="IA10" s="62" t="e">
        <f>IB10+IC10+ID10</f>
        <v>#REF!</v>
      </c>
      <c r="IB10" s="62" t="e">
        <f>IB11+IB12</f>
        <v>#REF!</v>
      </c>
      <c r="IC10" s="62">
        <f>IC11+IC12</f>
        <v>876341.19415</v>
      </c>
      <c r="ID10" s="62" t="e">
        <f>ID11+ID12</f>
        <v>#REF!</v>
      </c>
      <c r="IE10" s="40"/>
      <c r="IF10" s="41"/>
      <c r="IG10" s="41"/>
      <c r="IH10" s="41"/>
      <c r="II10" s="42"/>
      <c r="IJ10" s="42"/>
      <c r="IK10" s="42"/>
      <c r="IL10" s="42"/>
      <c r="IM10" s="42"/>
      <c r="IN10" s="42"/>
      <c r="IO10" s="42"/>
    </row>
    <row r="11" spans="1:249" s="32" customFormat="1" ht="35.25" customHeight="1" x14ac:dyDescent="0.25">
      <c r="B11" s="718" t="s">
        <v>120</v>
      </c>
      <c r="C11" s="719"/>
      <c r="D11" s="63"/>
      <c r="E11" s="64"/>
      <c r="F11" s="64"/>
      <c r="G11" s="64"/>
      <c r="H11" s="64"/>
      <c r="I11" s="64"/>
      <c r="J11" s="64"/>
      <c r="K11" s="64"/>
      <c r="L11" s="64"/>
      <c r="M11" s="64"/>
      <c r="N11" s="64"/>
      <c r="O11" s="64"/>
      <c r="P11" s="64"/>
      <c r="Q11" s="63"/>
      <c r="R11" s="64"/>
      <c r="S11" s="64"/>
      <c r="T11" s="63"/>
      <c r="U11" s="63"/>
      <c r="V11" s="63"/>
      <c r="W11" s="63"/>
      <c r="X11" s="63"/>
      <c r="Y11" s="63"/>
      <c r="Z11" s="65"/>
      <c r="AA11" s="65"/>
      <c r="AB11" s="65"/>
      <c r="AC11" s="65"/>
      <c r="AD11" s="65"/>
      <c r="AE11" s="65"/>
      <c r="AF11" s="65"/>
      <c r="AG11" s="65"/>
      <c r="AH11" s="65"/>
      <c r="AI11" s="65"/>
      <c r="AJ11" s="65"/>
      <c r="AK11" s="65"/>
      <c r="AL11" s="65"/>
      <c r="AM11" s="65"/>
      <c r="AN11" s="65"/>
      <c r="AO11" s="66"/>
      <c r="AP11" s="65"/>
      <c r="AQ11" s="65"/>
      <c r="AR11" s="65"/>
      <c r="AS11" s="65"/>
      <c r="AT11" s="65"/>
      <c r="AU11" s="65"/>
      <c r="AV11" s="65"/>
      <c r="AW11" s="65"/>
      <c r="AX11" s="65"/>
      <c r="AY11" s="65"/>
      <c r="AZ11" s="65"/>
      <c r="BA11" s="65"/>
      <c r="BB11" s="65"/>
      <c r="BC11" s="65"/>
      <c r="BD11" s="65"/>
      <c r="BE11" s="65"/>
      <c r="BF11" s="65"/>
      <c r="BG11" s="65"/>
      <c r="BH11" s="65"/>
      <c r="BI11" s="65"/>
      <c r="BJ11" s="65"/>
      <c r="BK11" s="67"/>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38" t="e">
        <f>CX11+CY11</f>
        <v>#REF!</v>
      </c>
      <c r="CX11" s="38">
        <f>CX357+CX361</f>
        <v>0</v>
      </c>
      <c r="CY11" s="38" t="e">
        <f>CY357+CY361</f>
        <v>#REF!</v>
      </c>
      <c r="CZ11" s="38" t="e">
        <f>DA11+DB11</f>
        <v>#REF!</v>
      </c>
      <c r="DA11" s="38">
        <f>DA357+DA361</f>
        <v>0</v>
      </c>
      <c r="DB11" s="38" t="e">
        <f>DB357+DB361</f>
        <v>#REF!</v>
      </c>
      <c r="DC11" s="38"/>
      <c r="DD11" s="38"/>
      <c r="DE11" s="38"/>
      <c r="DF11" s="38" t="e">
        <f>DG11+DH11</f>
        <v>#REF!</v>
      </c>
      <c r="DG11" s="38">
        <f>DG357+DG361</f>
        <v>0</v>
      </c>
      <c r="DH11" s="38" t="e">
        <f>DH357+DH361</f>
        <v>#REF!</v>
      </c>
      <c r="DI11" s="38" t="e">
        <f>DJ11+DK11</f>
        <v>#REF!</v>
      </c>
      <c r="DJ11" s="38">
        <f>DJ357+DJ361</f>
        <v>0</v>
      </c>
      <c r="DK11" s="38" t="e">
        <f>DK357+DK361</f>
        <v>#REF!</v>
      </c>
      <c r="DL11" s="38" t="e">
        <f>DM11+DN11</f>
        <v>#REF!</v>
      </c>
      <c r="DM11" s="38">
        <f>DM357+DM361</f>
        <v>0</v>
      </c>
      <c r="DN11" s="38" t="e">
        <f>DN357+DN361</f>
        <v>#REF!</v>
      </c>
      <c r="DO11" s="38" t="e">
        <f>DP11+DQ11</f>
        <v>#REF!</v>
      </c>
      <c r="DP11" s="38">
        <f>DP357+DP361</f>
        <v>0</v>
      </c>
      <c r="DQ11" s="38" t="e">
        <f>DQ357+DQ361</f>
        <v>#REF!</v>
      </c>
      <c r="DR11" s="38" t="e">
        <f>DS11+DT11</f>
        <v>#REF!</v>
      </c>
      <c r="DS11" s="38">
        <f>DS357+DS361</f>
        <v>0</v>
      </c>
      <c r="DT11" s="38" t="e">
        <f>DT357+DT361</f>
        <v>#REF!</v>
      </c>
      <c r="DU11" s="38">
        <f>DV11+DW11</f>
        <v>100000</v>
      </c>
      <c r="DV11" s="38">
        <f>DV357+DV361</f>
        <v>0</v>
      </c>
      <c r="DW11" s="38">
        <f>DW357+DW361</f>
        <v>100000</v>
      </c>
      <c r="DX11" s="38"/>
      <c r="DY11" s="38"/>
      <c r="DZ11" s="38"/>
      <c r="EA11" s="38"/>
      <c r="EB11" s="38"/>
      <c r="EC11" s="38"/>
      <c r="ED11" s="38">
        <f>EE11+EF11</f>
        <v>-100000</v>
      </c>
      <c r="EE11" s="38">
        <f>EE357+EE361</f>
        <v>0</v>
      </c>
      <c r="EF11" s="38">
        <f>EF357+EF361</f>
        <v>-100000</v>
      </c>
      <c r="EG11" s="38" t="e">
        <f>EH11+EI11+EJ11</f>
        <v>#REF!</v>
      </c>
      <c r="EH11" s="38" t="e">
        <f>EH26+EH362+EH385</f>
        <v>#REF!</v>
      </c>
      <c r="EI11" s="38">
        <f>EI26+EI362</f>
        <v>639535.67071999994</v>
      </c>
      <c r="EJ11" s="38" t="e">
        <f>EJ26+EJ362</f>
        <v>#REF!</v>
      </c>
      <c r="EK11" s="38" t="e">
        <f>EL11+EM11+EN11</f>
        <v>#REF!</v>
      </c>
      <c r="EL11" s="38" t="e">
        <f>EL26+EL362+EL385</f>
        <v>#REF!</v>
      </c>
      <c r="EM11" s="38" t="e">
        <f>EM26+EM362</f>
        <v>#REF!</v>
      </c>
      <c r="EN11" s="38" t="e">
        <f>EN26+EN362</f>
        <v>#REF!</v>
      </c>
      <c r="EO11" s="38" t="e">
        <f>EP11+EQ11+ER11</f>
        <v>#REF!</v>
      </c>
      <c r="EP11" s="38">
        <f>EP357+EP361</f>
        <v>0</v>
      </c>
      <c r="EQ11" s="38" t="e">
        <f>#REF!</f>
        <v>#REF!</v>
      </c>
      <c r="ER11" s="38">
        <f>ER357+ER361</f>
        <v>0</v>
      </c>
      <c r="ES11" s="38" t="e">
        <f>ET11+EU11+EV11</f>
        <v>#REF!</v>
      </c>
      <c r="ET11" s="38" t="e">
        <f>ET26+ET362+ET385</f>
        <v>#REF!</v>
      </c>
      <c r="EU11" s="38">
        <f>EU26+EU362</f>
        <v>-200912.7696</v>
      </c>
      <c r="EV11" s="38" t="e">
        <f>EV26+EV362</f>
        <v>#REF!</v>
      </c>
      <c r="EW11" s="38" t="e">
        <f>EX11+EY11</f>
        <v>#REF!</v>
      </c>
      <c r="EX11" s="38">
        <f>EX357+EX361</f>
        <v>0</v>
      </c>
      <c r="EY11" s="38" t="e">
        <f>EY357+EY361</f>
        <v>#REF!</v>
      </c>
      <c r="EZ11" s="38">
        <f>FA11+FB11</f>
        <v>46390.272960000002</v>
      </c>
      <c r="FA11" s="38">
        <f>FA357+FA361</f>
        <v>46390.272960000002</v>
      </c>
      <c r="FB11" s="38">
        <f>FB357+FB361</f>
        <v>0</v>
      </c>
      <c r="FC11" s="39">
        <f>FD11+FE11+FF11</f>
        <v>14407288.9</v>
      </c>
      <c r="FD11" s="39">
        <f t="shared" ref="FD11:FF12" si="24">FD26+FD362</f>
        <v>12200399.998410001</v>
      </c>
      <c r="FE11" s="39">
        <f t="shared" si="24"/>
        <v>438079.28591999999</v>
      </c>
      <c r="FF11" s="39">
        <f t="shared" si="24"/>
        <v>1768809.61567</v>
      </c>
      <c r="FG11" s="39" t="e">
        <f>FH11+FI11+FJ11</f>
        <v>#REF!</v>
      </c>
      <c r="FH11" s="39" t="e">
        <f t="shared" ref="FH11:FJ12" si="25">FH26+FH362</f>
        <v>#REF!</v>
      </c>
      <c r="FI11" s="39">
        <f t="shared" si="25"/>
        <v>543.61520000000019</v>
      </c>
      <c r="FJ11" s="39">
        <f t="shared" si="25"/>
        <v>29229.147620000025</v>
      </c>
      <c r="FK11" s="39" t="e">
        <f>FL11+FM11+FN11</f>
        <v>#REF!</v>
      </c>
      <c r="FL11" s="39">
        <f>FL357+FL361</f>
        <v>0</v>
      </c>
      <c r="FM11" s="39">
        <f>FM357+FM361</f>
        <v>0</v>
      </c>
      <c r="FN11" s="39" t="e">
        <f>FN357+FN361-FN375</f>
        <v>#REF!</v>
      </c>
      <c r="FO11" s="39">
        <f>FP11+FQ11+FR11</f>
        <v>11774959.992080001</v>
      </c>
      <c r="FP11" s="39">
        <f t="shared" ref="FP11:FR12" si="26">FP26+FP362</f>
        <v>9606607.1153100021</v>
      </c>
      <c r="FQ11" s="39">
        <f t="shared" si="26"/>
        <v>438622.90111999999</v>
      </c>
      <c r="FR11" s="39">
        <f t="shared" si="26"/>
        <v>1729729.9756500002</v>
      </c>
      <c r="FS11" s="39">
        <f t="shared" si="6"/>
        <v>7709453.5063500004</v>
      </c>
      <c r="FT11" s="485">
        <f t="shared" si="7"/>
        <v>0.53510785824180984</v>
      </c>
      <c r="FU11" s="39">
        <f>FU26+FU362</f>
        <v>6798161.8018300002</v>
      </c>
      <c r="FV11" s="485">
        <f t="shared" si="8"/>
        <v>0.55720810815349986</v>
      </c>
      <c r="FW11" s="39">
        <f>FW26+FW362</f>
        <v>276081.24210999999</v>
      </c>
      <c r="FX11" s="485">
        <f>FW11/FE11</f>
        <v>0.63020839145637364</v>
      </c>
      <c r="FY11" s="39">
        <f>FY26+FY362</f>
        <v>635210.46241000004</v>
      </c>
      <c r="FZ11" s="485">
        <f t="shared" si="9"/>
        <v>0.35911748601015564</v>
      </c>
      <c r="GA11" s="39">
        <f t="shared" si="10"/>
        <v>7287520.8385700015</v>
      </c>
      <c r="GB11" s="485">
        <f t="shared" si="11"/>
        <v>0.50582180236352459</v>
      </c>
      <c r="GC11" s="39">
        <f>GC26+GC362</f>
        <v>6420627.1031700009</v>
      </c>
      <c r="GD11" s="485">
        <f t="shared" si="12"/>
        <v>0.5262636556184026</v>
      </c>
      <c r="GE11" s="39">
        <f>GE26+GE362</f>
        <v>231683.27299</v>
      </c>
      <c r="GF11" s="485">
        <f>GE11/FE11</f>
        <v>0.52886151077298127</v>
      </c>
      <c r="GG11" s="39">
        <f>GG26+GG362</f>
        <v>635210.46241000004</v>
      </c>
      <c r="GH11" s="485">
        <f t="shared" si="13"/>
        <v>0.35911748601015564</v>
      </c>
      <c r="GI11" s="39">
        <f t="shared" si="14"/>
        <v>11908020.080430001</v>
      </c>
      <c r="GJ11" s="485">
        <f t="shared" si="15"/>
        <v>0.82652747252330039</v>
      </c>
      <c r="GK11" s="39">
        <f>GK26+GK362</f>
        <v>9840209.7545699999</v>
      </c>
      <c r="GL11" s="485">
        <f t="shared" si="16"/>
        <v>0.80654812595098602</v>
      </c>
      <c r="GM11" s="39">
        <f>GM26+GM362</f>
        <v>305188.26696000004</v>
      </c>
      <c r="GN11" s="485">
        <f>GM11/FE11</f>
        <v>0.69665075882116034</v>
      </c>
      <c r="GO11" s="39">
        <f>GO26+GO362</f>
        <v>1762622.0589000003</v>
      </c>
      <c r="GP11" s="485">
        <f t="shared" si="17"/>
        <v>0.99650185259330137</v>
      </c>
      <c r="GQ11" s="38"/>
      <c r="GR11" s="38"/>
      <c r="GS11" s="38"/>
      <c r="GT11" s="38"/>
      <c r="GU11" s="38" t="e">
        <f>GV11+GW11+GX11</f>
        <v>#REF!</v>
      </c>
      <c r="GV11" s="38" t="e">
        <f>GV26+GV362+GV385</f>
        <v>#REF!</v>
      </c>
      <c r="GW11" s="38">
        <f>GW26+GW362</f>
        <v>680085.67045999994</v>
      </c>
      <c r="GX11" s="38" t="e">
        <f>GX26+GX362</f>
        <v>#REF!</v>
      </c>
      <c r="GY11" s="38"/>
      <c r="GZ11" s="38"/>
      <c r="HA11" s="38"/>
      <c r="HB11" s="38"/>
      <c r="HC11" s="38"/>
      <c r="HD11" s="38"/>
      <c r="HE11" s="38"/>
      <c r="HF11" s="38"/>
      <c r="HG11" s="38" t="e">
        <f>HH11+HI11+HJ11</f>
        <v>#REF!</v>
      </c>
      <c r="HH11" s="38" t="e">
        <f t="shared" ref="HH11:HJ12" si="27">HH26+HH362</f>
        <v>#REF!</v>
      </c>
      <c r="HI11" s="38">
        <f t="shared" si="27"/>
        <v>0</v>
      </c>
      <c r="HJ11" s="38" t="e">
        <f t="shared" si="27"/>
        <v>#REF!</v>
      </c>
      <c r="HK11" s="38" t="e">
        <f>HL11+HM11+HN11</f>
        <v>#REF!</v>
      </c>
      <c r="HL11" s="38" t="e">
        <f>HL26+HL362+HL385</f>
        <v>#REF!</v>
      </c>
      <c r="HM11" s="38">
        <f>HM26+HM362</f>
        <v>0</v>
      </c>
      <c r="HN11" s="38" t="e">
        <f>HN26+HN362</f>
        <v>#REF!</v>
      </c>
      <c r="HO11" s="38" t="e">
        <f>HP11+HQ11+HR11</f>
        <v>#REF!</v>
      </c>
      <c r="HP11" s="38" t="e">
        <f t="shared" ref="HP11:HR12" si="28">HP26+HP362</f>
        <v>#REF!</v>
      </c>
      <c r="HQ11" s="38">
        <f t="shared" si="28"/>
        <v>680085.67045999994</v>
      </c>
      <c r="HR11" s="38">
        <f t="shared" si="28"/>
        <v>1495349.6561799999</v>
      </c>
      <c r="HS11" s="38" t="e">
        <f>HT11+HU11+HV11</f>
        <v>#REF!</v>
      </c>
      <c r="HT11" s="38" t="e">
        <f t="shared" ref="HT11:HV12" si="29">HT26+HT362</f>
        <v>#REF!</v>
      </c>
      <c r="HU11" s="38">
        <f t="shared" si="29"/>
        <v>876341.19415</v>
      </c>
      <c r="HV11" s="38" t="e">
        <f t="shared" si="29"/>
        <v>#REF!</v>
      </c>
      <c r="HW11" s="38">
        <f>HX11+HY11+HZ11</f>
        <v>2152470</v>
      </c>
      <c r="HX11" s="38">
        <f>HX357+HX361</f>
        <v>2524862.6865699999</v>
      </c>
      <c r="HY11" s="38">
        <f>HY357+HY361</f>
        <v>0</v>
      </c>
      <c r="HZ11" s="38">
        <f>HZ357+HZ361-HZ375</f>
        <v>-372392.68657000002</v>
      </c>
      <c r="IA11" s="38" t="e">
        <f>IB11+IC11+ID11</f>
        <v>#REF!</v>
      </c>
      <c r="IB11" s="38" t="e">
        <f t="shared" ref="IB11:ID12" si="30">IB26+IB362</f>
        <v>#REF!</v>
      </c>
      <c r="IC11" s="38">
        <f t="shared" si="30"/>
        <v>876341.19415</v>
      </c>
      <c r="ID11" s="38" t="e">
        <f t="shared" si="30"/>
        <v>#REF!</v>
      </c>
      <c r="IE11" s="40"/>
      <c r="IF11" s="41"/>
      <c r="IG11" s="41"/>
      <c r="IH11" s="41"/>
      <c r="II11" s="42"/>
      <c r="IJ11" s="42"/>
      <c r="IK11" s="42"/>
      <c r="IL11" s="42"/>
      <c r="IM11" s="42"/>
      <c r="IN11" s="42"/>
      <c r="IO11" s="42"/>
    </row>
    <row r="12" spans="1:249" s="44" customFormat="1" ht="35.25" customHeight="1" x14ac:dyDescent="0.25">
      <c r="B12" s="734" t="s">
        <v>121</v>
      </c>
      <c r="C12" s="735"/>
      <c r="D12" s="68"/>
      <c r="E12" s="69"/>
      <c r="F12" s="69"/>
      <c r="G12" s="69"/>
      <c r="H12" s="69"/>
      <c r="I12" s="69"/>
      <c r="J12" s="69"/>
      <c r="K12" s="69"/>
      <c r="L12" s="69"/>
      <c r="M12" s="69"/>
      <c r="N12" s="69"/>
      <c r="O12" s="69"/>
      <c r="P12" s="69"/>
      <c r="Q12" s="68"/>
      <c r="R12" s="69"/>
      <c r="S12" s="69"/>
      <c r="T12" s="68"/>
      <c r="U12" s="68"/>
      <c r="V12" s="68"/>
      <c r="W12" s="68"/>
      <c r="X12" s="68"/>
      <c r="Y12" s="68"/>
      <c r="Z12" s="70"/>
      <c r="AA12" s="70"/>
      <c r="AB12" s="70"/>
      <c r="AC12" s="70"/>
      <c r="AD12" s="70"/>
      <c r="AE12" s="70"/>
      <c r="AF12" s="70"/>
      <c r="AG12" s="70"/>
      <c r="AH12" s="70"/>
      <c r="AI12" s="70"/>
      <c r="AJ12" s="70"/>
      <c r="AK12" s="70"/>
      <c r="AL12" s="70"/>
      <c r="AM12" s="70"/>
      <c r="AN12" s="70"/>
      <c r="AO12" s="71"/>
      <c r="AP12" s="70"/>
      <c r="AQ12" s="70"/>
      <c r="AR12" s="70"/>
      <c r="AS12" s="70"/>
      <c r="AT12" s="70"/>
      <c r="AU12" s="70"/>
      <c r="AV12" s="70"/>
      <c r="AW12" s="70"/>
      <c r="AX12" s="70"/>
      <c r="AY12" s="70"/>
      <c r="AZ12" s="70"/>
      <c r="BA12" s="70"/>
      <c r="BB12" s="70"/>
      <c r="BC12" s="70"/>
      <c r="BD12" s="70"/>
      <c r="BE12" s="70"/>
      <c r="BF12" s="70"/>
      <c r="BG12" s="70"/>
      <c r="BH12" s="70"/>
      <c r="BI12" s="70"/>
      <c r="BJ12" s="70"/>
      <c r="BK12" s="72"/>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3">
        <f>CX12+CY12</f>
        <v>296317.40000000002</v>
      </c>
      <c r="CX12" s="73">
        <f t="shared" ref="CX12:EF12" si="31">CX248</f>
        <v>296317.40000000002</v>
      </c>
      <c r="CY12" s="73">
        <f t="shared" si="31"/>
        <v>0</v>
      </c>
      <c r="CZ12" s="73">
        <f t="shared" si="31"/>
        <v>0</v>
      </c>
      <c r="DA12" s="73">
        <f t="shared" si="31"/>
        <v>0</v>
      </c>
      <c r="DB12" s="73">
        <f t="shared" si="31"/>
        <v>0</v>
      </c>
      <c r="DC12" s="73">
        <f t="shared" si="31"/>
        <v>0</v>
      </c>
      <c r="DD12" s="73">
        <f t="shared" si="31"/>
        <v>0</v>
      </c>
      <c r="DE12" s="73">
        <f t="shared" si="31"/>
        <v>0</v>
      </c>
      <c r="DF12" s="73">
        <f t="shared" si="31"/>
        <v>0</v>
      </c>
      <c r="DG12" s="73">
        <f t="shared" si="31"/>
        <v>0</v>
      </c>
      <c r="DH12" s="73">
        <f t="shared" si="31"/>
        <v>0</v>
      </c>
      <c r="DI12" s="73">
        <f t="shared" si="31"/>
        <v>296317.40000000002</v>
      </c>
      <c r="DJ12" s="73">
        <f t="shared" si="31"/>
        <v>296317.40000000002</v>
      </c>
      <c r="DK12" s="73">
        <f t="shared" si="31"/>
        <v>0</v>
      </c>
      <c r="DL12" s="73">
        <f t="shared" si="31"/>
        <v>0</v>
      </c>
      <c r="DM12" s="73">
        <f t="shared" si="31"/>
        <v>0</v>
      </c>
      <c r="DN12" s="73">
        <f t="shared" si="31"/>
        <v>0</v>
      </c>
      <c r="DO12" s="73">
        <f t="shared" si="31"/>
        <v>0</v>
      </c>
      <c r="DP12" s="73">
        <f t="shared" si="31"/>
        <v>0</v>
      </c>
      <c r="DQ12" s="73">
        <f t="shared" si="31"/>
        <v>0</v>
      </c>
      <c r="DR12" s="73">
        <f t="shared" si="31"/>
        <v>296317.40000000002</v>
      </c>
      <c r="DS12" s="73">
        <f t="shared" si="31"/>
        <v>296317.40000000002</v>
      </c>
      <c r="DT12" s="73">
        <f t="shared" si="31"/>
        <v>0</v>
      </c>
      <c r="DU12" s="73">
        <f t="shared" si="31"/>
        <v>0</v>
      </c>
      <c r="DV12" s="73">
        <f t="shared" si="31"/>
        <v>0</v>
      </c>
      <c r="DW12" s="73">
        <f t="shared" si="31"/>
        <v>0</v>
      </c>
      <c r="DX12" s="73">
        <f t="shared" si="31"/>
        <v>0</v>
      </c>
      <c r="DY12" s="73">
        <f t="shared" si="31"/>
        <v>0</v>
      </c>
      <c r="DZ12" s="73">
        <f t="shared" si="31"/>
        <v>0</v>
      </c>
      <c r="EA12" s="73">
        <f t="shared" si="31"/>
        <v>0</v>
      </c>
      <c r="EB12" s="73">
        <f t="shared" si="31"/>
        <v>0</v>
      </c>
      <c r="EC12" s="73">
        <f t="shared" si="31"/>
        <v>0</v>
      </c>
      <c r="ED12" s="73">
        <f t="shared" si="31"/>
        <v>0</v>
      </c>
      <c r="EE12" s="73">
        <f t="shared" si="31"/>
        <v>0</v>
      </c>
      <c r="EF12" s="73">
        <f t="shared" si="31"/>
        <v>0</v>
      </c>
      <c r="EG12" s="73">
        <f>EH12+EI12+EJ12</f>
        <v>2861343.9</v>
      </c>
      <c r="EH12" s="73">
        <f>EH27+EH363</f>
        <v>2861343.9</v>
      </c>
      <c r="EI12" s="73">
        <f>EI27+EI363</f>
        <v>0</v>
      </c>
      <c r="EJ12" s="73">
        <f>EJ27+EJ363</f>
        <v>0</v>
      </c>
      <c r="EK12" s="73">
        <f>EL12+EM12+EN12</f>
        <v>0</v>
      </c>
      <c r="EL12" s="73">
        <f>EL27+EL363</f>
        <v>0</v>
      </c>
      <c r="EM12" s="73">
        <f>EM27+EM363</f>
        <v>0</v>
      </c>
      <c r="EN12" s="73">
        <f>EN27+EN363</f>
        <v>0</v>
      </c>
      <c r="EO12" s="73">
        <f>EO248</f>
        <v>0</v>
      </c>
      <c r="EP12" s="73">
        <f>EP248</f>
        <v>0</v>
      </c>
      <c r="EQ12" s="73">
        <f>EQ248</f>
        <v>0</v>
      </c>
      <c r="ER12" s="73">
        <f>ER248</f>
        <v>0</v>
      </c>
      <c r="ES12" s="74">
        <f>ET12+EU12+EV12</f>
        <v>0</v>
      </c>
      <c r="ET12" s="73">
        <f>ET27+ET363</f>
        <v>0</v>
      </c>
      <c r="EU12" s="73">
        <f>EU27+EU363</f>
        <v>0</v>
      </c>
      <c r="EV12" s="73">
        <f>EV27+EV363</f>
        <v>0</v>
      </c>
      <c r="EW12" s="73">
        <f t="shared" ref="EW12:FB12" si="32">EW248</f>
        <v>0</v>
      </c>
      <c r="EX12" s="73">
        <f t="shared" si="32"/>
        <v>0</v>
      </c>
      <c r="EY12" s="73">
        <f t="shared" si="32"/>
        <v>0</v>
      </c>
      <c r="EZ12" s="73">
        <f t="shared" si="32"/>
        <v>0</v>
      </c>
      <c r="FA12" s="73">
        <f t="shared" si="32"/>
        <v>0</v>
      </c>
      <c r="FB12" s="73">
        <f t="shared" si="32"/>
        <v>0</v>
      </c>
      <c r="FC12" s="74">
        <f>FD12+FE12+FF12</f>
        <v>4195772.8</v>
      </c>
      <c r="FD12" s="74">
        <f t="shared" si="24"/>
        <v>4096688.0580000002</v>
      </c>
      <c r="FE12" s="74">
        <f t="shared" si="24"/>
        <v>0</v>
      </c>
      <c r="FF12" s="74">
        <f t="shared" si="24"/>
        <v>99084.741999999998</v>
      </c>
      <c r="FG12" s="74">
        <f>FH12+FI12+FJ12</f>
        <v>-46688.057999999997</v>
      </c>
      <c r="FH12" s="74">
        <f t="shared" si="25"/>
        <v>-100000</v>
      </c>
      <c r="FI12" s="74">
        <f t="shared" si="25"/>
        <v>0</v>
      </c>
      <c r="FJ12" s="74">
        <f t="shared" si="25"/>
        <v>53311.942000000003</v>
      </c>
      <c r="FK12" s="74" t="e">
        <f>FL12+FM12+FN12</f>
        <v>#REF!</v>
      </c>
      <c r="FL12" s="74">
        <f>FL248</f>
        <v>0</v>
      </c>
      <c r="FM12" s="74">
        <f>FM248</f>
        <v>0</v>
      </c>
      <c r="FN12" s="74" t="e">
        <f>FN375</f>
        <v>#REF!</v>
      </c>
      <c r="FO12" s="74">
        <f>FP12+FQ12+FR12</f>
        <v>2895772.8000000003</v>
      </c>
      <c r="FP12" s="74">
        <f t="shared" si="26"/>
        <v>2796688.0580000002</v>
      </c>
      <c r="FQ12" s="74">
        <f t="shared" si="26"/>
        <v>0</v>
      </c>
      <c r="FR12" s="74">
        <f t="shared" si="26"/>
        <v>99084.741999999998</v>
      </c>
      <c r="FS12" s="74">
        <f t="shared" si="6"/>
        <v>3126551.2974200002</v>
      </c>
      <c r="FT12" s="487">
        <f t="shared" si="7"/>
        <v>0.74516696838780216</v>
      </c>
      <c r="FU12" s="74">
        <f>FU27+FU363</f>
        <v>3094803.07614</v>
      </c>
      <c r="FV12" s="487">
        <f t="shared" si="8"/>
        <v>0.75544025620805511</v>
      </c>
      <c r="FW12" s="74">
        <f>FW27+FW363</f>
        <v>0</v>
      </c>
      <c r="FX12" s="487">
        <v>0</v>
      </c>
      <c r="FY12" s="74">
        <f>FY27+FY363</f>
        <v>31748.221280000002</v>
      </c>
      <c r="FZ12" s="487">
        <f t="shared" si="9"/>
        <v>0.32041483521246894</v>
      </c>
      <c r="GA12" s="74">
        <f t="shared" si="10"/>
        <v>2916337.6796800001</v>
      </c>
      <c r="GB12" s="487">
        <f t="shared" si="11"/>
        <v>0.69506568126853774</v>
      </c>
      <c r="GC12" s="74">
        <f>GC27+GC363</f>
        <v>2884589.4583999999</v>
      </c>
      <c r="GD12" s="487">
        <f t="shared" si="12"/>
        <v>0.70412719190737072</v>
      </c>
      <c r="GE12" s="74">
        <f>GE27+GE363</f>
        <v>0</v>
      </c>
      <c r="GF12" s="487">
        <v>0</v>
      </c>
      <c r="GG12" s="74">
        <f>GG27+GG363</f>
        <v>31748.221280000002</v>
      </c>
      <c r="GH12" s="487">
        <f t="shared" si="13"/>
        <v>0.32041483521246894</v>
      </c>
      <c r="GI12" s="74">
        <f t="shared" si="14"/>
        <v>3755712.0234900001</v>
      </c>
      <c r="GJ12" s="487">
        <f t="shared" si="15"/>
        <v>0.89511806346854628</v>
      </c>
      <c r="GK12" s="74">
        <f>GK27+GK363</f>
        <v>3659345.74449</v>
      </c>
      <c r="GL12" s="487">
        <f t="shared" si="16"/>
        <v>0.89324490727187311</v>
      </c>
      <c r="GM12" s="74">
        <f>GM27+GM363</f>
        <v>0</v>
      </c>
      <c r="GN12" s="485">
        <v>0</v>
      </c>
      <c r="GO12" s="74">
        <f>GO27+GO363</f>
        <v>96366.27900000001</v>
      </c>
      <c r="GP12" s="487">
        <f t="shared" si="17"/>
        <v>0.97256426221506442</v>
      </c>
      <c r="GQ12" s="73"/>
      <c r="GR12" s="73"/>
      <c r="GS12" s="73"/>
      <c r="GT12" s="73"/>
      <c r="GU12" s="73">
        <f>GV12+GW12+GX12</f>
        <v>2753152.8</v>
      </c>
      <c r="GV12" s="73">
        <f>GV27+GV363</f>
        <v>2700000</v>
      </c>
      <c r="GW12" s="73">
        <f>GW27+GW363</f>
        <v>0</v>
      </c>
      <c r="GX12" s="73">
        <f>GX27+GX363</f>
        <v>53152.800000000003</v>
      </c>
      <c r="GY12" s="73"/>
      <c r="GZ12" s="73"/>
      <c r="HA12" s="73"/>
      <c r="HB12" s="73"/>
      <c r="HC12" s="73"/>
      <c r="HD12" s="73"/>
      <c r="HE12" s="73"/>
      <c r="HF12" s="73"/>
      <c r="HG12" s="73">
        <f>HH12+HI12+HJ12</f>
        <v>-983000</v>
      </c>
      <c r="HH12" s="73">
        <f t="shared" si="27"/>
        <v>-983000</v>
      </c>
      <c r="HI12" s="73">
        <f t="shared" si="27"/>
        <v>0</v>
      </c>
      <c r="HJ12" s="73">
        <f t="shared" si="27"/>
        <v>0</v>
      </c>
      <c r="HK12" s="73">
        <f>HL12+HM12+HN12</f>
        <v>0</v>
      </c>
      <c r="HL12" s="73">
        <f>HL27+HL363</f>
        <v>0</v>
      </c>
      <c r="HM12" s="73">
        <f>HM27+HM363</f>
        <v>0</v>
      </c>
      <c r="HN12" s="73">
        <f>HN27+HN363</f>
        <v>0</v>
      </c>
      <c r="HO12" s="73">
        <f>HP12+HQ12+HR12</f>
        <v>1770152.8</v>
      </c>
      <c r="HP12" s="73">
        <f t="shared" si="28"/>
        <v>1717000</v>
      </c>
      <c r="HQ12" s="73">
        <f t="shared" si="28"/>
        <v>0</v>
      </c>
      <c r="HR12" s="73">
        <f t="shared" si="28"/>
        <v>53152.800000000003</v>
      </c>
      <c r="HS12" s="73">
        <f>HT12+HU12+HV12</f>
        <v>249503.1</v>
      </c>
      <c r="HT12" s="73">
        <f t="shared" si="29"/>
        <v>0</v>
      </c>
      <c r="HU12" s="73">
        <f t="shared" si="29"/>
        <v>0</v>
      </c>
      <c r="HV12" s="73">
        <f t="shared" si="29"/>
        <v>249503.1</v>
      </c>
      <c r="HW12" s="73">
        <f>HX12+HY12+HZ12</f>
        <v>2152470</v>
      </c>
      <c r="HX12" s="73">
        <f>HX27+HX363</f>
        <v>2401973.1</v>
      </c>
      <c r="HY12" s="73">
        <f>HY248</f>
        <v>0</v>
      </c>
      <c r="HZ12" s="73">
        <f>HZ27+HZ363</f>
        <v>-249503.1</v>
      </c>
      <c r="IA12" s="73">
        <f>IB12+IC12+ID12</f>
        <v>2401973.1</v>
      </c>
      <c r="IB12" s="73">
        <f t="shared" si="30"/>
        <v>2401973.1</v>
      </c>
      <c r="IC12" s="73">
        <f t="shared" si="30"/>
        <v>0</v>
      </c>
      <c r="ID12" s="73">
        <f t="shared" si="30"/>
        <v>0</v>
      </c>
      <c r="IE12" s="75"/>
      <c r="IF12" s="76"/>
      <c r="IG12" s="76"/>
      <c r="IH12" s="76"/>
      <c r="II12" s="56"/>
      <c r="IJ12" s="56"/>
      <c r="IK12" s="56"/>
      <c r="IL12" s="56"/>
      <c r="IM12" s="56"/>
      <c r="IN12" s="56"/>
      <c r="IO12" s="56"/>
    </row>
    <row r="13" spans="1:249" s="523" customFormat="1" ht="69" hidden="1" customHeight="1" x14ac:dyDescent="0.25">
      <c r="B13" s="740" t="s">
        <v>477</v>
      </c>
      <c r="C13" s="741"/>
      <c r="D13" s="524"/>
      <c r="E13" s="525"/>
      <c r="F13" s="525"/>
      <c r="G13" s="525"/>
      <c r="H13" s="525"/>
      <c r="I13" s="525"/>
      <c r="J13" s="525"/>
      <c r="K13" s="525"/>
      <c r="L13" s="525"/>
      <c r="M13" s="525"/>
      <c r="N13" s="525"/>
      <c r="O13" s="525"/>
      <c r="P13" s="525"/>
      <c r="Q13" s="524"/>
      <c r="R13" s="525"/>
      <c r="S13" s="525"/>
      <c r="T13" s="524"/>
      <c r="U13" s="524"/>
      <c r="V13" s="524"/>
      <c r="W13" s="524"/>
      <c r="X13" s="524"/>
      <c r="Y13" s="524"/>
      <c r="Z13" s="526"/>
      <c r="AA13" s="526"/>
      <c r="AB13" s="526"/>
      <c r="AC13" s="526"/>
      <c r="AD13" s="526"/>
      <c r="AE13" s="526"/>
      <c r="AF13" s="526"/>
      <c r="AG13" s="526"/>
      <c r="AH13" s="526"/>
      <c r="AI13" s="526"/>
      <c r="AJ13" s="526"/>
      <c r="AK13" s="526"/>
      <c r="AL13" s="526"/>
      <c r="AM13" s="526"/>
      <c r="AN13" s="526"/>
      <c r="AO13" s="527"/>
      <c r="AP13" s="526"/>
      <c r="AQ13" s="526"/>
      <c r="AR13" s="526"/>
      <c r="AS13" s="526"/>
      <c r="AT13" s="526"/>
      <c r="AU13" s="526"/>
      <c r="AV13" s="526"/>
      <c r="AW13" s="526"/>
      <c r="AX13" s="526"/>
      <c r="AY13" s="526"/>
      <c r="AZ13" s="526"/>
      <c r="BA13" s="526"/>
      <c r="BB13" s="526"/>
      <c r="BC13" s="526"/>
      <c r="BD13" s="526"/>
      <c r="BE13" s="526"/>
      <c r="BF13" s="526"/>
      <c r="BG13" s="526"/>
      <c r="BH13" s="526"/>
      <c r="BI13" s="526"/>
      <c r="BJ13" s="526"/>
      <c r="BK13" s="528"/>
      <c r="BL13" s="526"/>
      <c r="BM13" s="526"/>
      <c r="BN13" s="526"/>
      <c r="BO13" s="526"/>
      <c r="BP13" s="526"/>
      <c r="BQ13" s="526"/>
      <c r="BR13" s="526"/>
      <c r="BS13" s="526"/>
      <c r="BT13" s="526"/>
      <c r="BU13" s="526"/>
      <c r="BV13" s="526"/>
      <c r="BW13" s="526"/>
      <c r="BX13" s="526"/>
      <c r="BY13" s="526"/>
      <c r="BZ13" s="526"/>
      <c r="CA13" s="526"/>
      <c r="CB13" s="526"/>
      <c r="CC13" s="526"/>
      <c r="CD13" s="526"/>
      <c r="CE13" s="526"/>
      <c r="CF13" s="526"/>
      <c r="CG13" s="526"/>
      <c r="CH13" s="526"/>
      <c r="CI13" s="526"/>
      <c r="CJ13" s="526"/>
      <c r="CK13" s="526"/>
      <c r="CL13" s="526"/>
      <c r="CM13" s="526"/>
      <c r="CN13" s="526"/>
      <c r="CO13" s="526"/>
      <c r="CP13" s="526"/>
      <c r="CQ13" s="526"/>
      <c r="CR13" s="526"/>
      <c r="CS13" s="526"/>
      <c r="CT13" s="526"/>
      <c r="CU13" s="526"/>
      <c r="CV13" s="526"/>
      <c r="CW13" s="529"/>
      <c r="CX13" s="529"/>
      <c r="CY13" s="529"/>
      <c r="CZ13" s="529"/>
      <c r="DA13" s="529"/>
      <c r="DB13" s="529"/>
      <c r="DC13" s="529"/>
      <c r="DD13" s="529"/>
      <c r="DE13" s="529"/>
      <c r="DF13" s="529"/>
      <c r="DG13" s="529"/>
      <c r="DH13" s="529"/>
      <c r="DI13" s="529"/>
      <c r="DJ13" s="529"/>
      <c r="DK13" s="529"/>
      <c r="DL13" s="529"/>
      <c r="DM13" s="529"/>
      <c r="DN13" s="529"/>
      <c r="DO13" s="529"/>
      <c r="DP13" s="529"/>
      <c r="DQ13" s="529"/>
      <c r="DR13" s="529"/>
      <c r="DS13" s="529"/>
      <c r="DT13" s="529"/>
      <c r="DU13" s="529"/>
      <c r="DV13" s="529"/>
      <c r="DW13" s="529"/>
      <c r="DX13" s="529"/>
      <c r="DY13" s="529"/>
      <c r="DZ13" s="529"/>
      <c r="EA13" s="529"/>
      <c r="EB13" s="529"/>
      <c r="EC13" s="529"/>
      <c r="ED13" s="529"/>
      <c r="EE13" s="529"/>
      <c r="EF13" s="529"/>
      <c r="EG13" s="529"/>
      <c r="EH13" s="529"/>
      <c r="EI13" s="529"/>
      <c r="EJ13" s="529"/>
      <c r="EK13" s="529"/>
      <c r="EL13" s="529"/>
      <c r="EM13" s="529"/>
      <c r="EN13" s="529"/>
      <c r="EO13" s="529"/>
      <c r="EP13" s="529"/>
      <c r="EQ13" s="529"/>
      <c r="ER13" s="529"/>
      <c r="ES13" s="530"/>
      <c r="ET13" s="529"/>
      <c r="EU13" s="529"/>
      <c r="EV13" s="529"/>
      <c r="EW13" s="529"/>
      <c r="EX13" s="529"/>
      <c r="EY13" s="529"/>
      <c r="EZ13" s="529"/>
      <c r="FA13" s="529"/>
      <c r="FB13" s="529"/>
      <c r="FC13" s="530">
        <f>FD13+FE13+FF13</f>
        <v>0</v>
      </c>
      <c r="FD13" s="530">
        <f>FD28</f>
        <v>0</v>
      </c>
      <c r="FE13" s="530">
        <v>0</v>
      </c>
      <c r="FF13" s="530">
        <v>0</v>
      </c>
      <c r="FG13" s="530"/>
      <c r="FH13" s="530"/>
      <c r="FI13" s="530"/>
      <c r="FJ13" s="530"/>
      <c r="FK13" s="530"/>
      <c r="FL13" s="530"/>
      <c r="FM13" s="530"/>
      <c r="FN13" s="530"/>
      <c r="FO13" s="530"/>
      <c r="FP13" s="530"/>
      <c r="FQ13" s="530"/>
      <c r="FR13" s="530"/>
      <c r="FS13" s="530">
        <f>FU13</f>
        <v>261667.67939999999</v>
      </c>
      <c r="FT13" s="531">
        <v>0</v>
      </c>
      <c r="FU13" s="530">
        <f>FU28</f>
        <v>261667.67939999999</v>
      </c>
      <c r="FV13" s="531">
        <v>0</v>
      </c>
      <c r="FW13" s="530">
        <v>0</v>
      </c>
      <c r="FX13" s="531">
        <v>0</v>
      </c>
      <c r="FY13" s="530">
        <v>0</v>
      </c>
      <c r="FZ13" s="531">
        <v>0</v>
      </c>
      <c r="GA13" s="530">
        <v>0</v>
      </c>
      <c r="GB13" s="531">
        <v>0</v>
      </c>
      <c r="GC13" s="530">
        <v>0</v>
      </c>
      <c r="GD13" s="531">
        <v>0</v>
      </c>
      <c r="GE13" s="530">
        <v>0</v>
      </c>
      <c r="GF13" s="531">
        <v>0</v>
      </c>
      <c r="GG13" s="530">
        <v>0</v>
      </c>
      <c r="GH13" s="531">
        <v>0</v>
      </c>
      <c r="GI13" s="530">
        <v>0</v>
      </c>
      <c r="GJ13" s="531">
        <v>0</v>
      </c>
      <c r="GK13" s="530">
        <v>0</v>
      </c>
      <c r="GL13" s="531">
        <v>0</v>
      </c>
      <c r="GM13" s="530">
        <v>0</v>
      </c>
      <c r="GN13" s="531">
        <v>0</v>
      </c>
      <c r="GO13" s="530">
        <v>0</v>
      </c>
      <c r="GP13" s="531">
        <v>0</v>
      </c>
      <c r="GQ13" s="529"/>
      <c r="GR13" s="529"/>
      <c r="GS13" s="529"/>
      <c r="GT13" s="529"/>
      <c r="GU13" s="529"/>
      <c r="GV13" s="529"/>
      <c r="GW13" s="529"/>
      <c r="GX13" s="529"/>
      <c r="GY13" s="529"/>
      <c r="GZ13" s="529"/>
      <c r="HA13" s="529"/>
      <c r="HB13" s="529"/>
      <c r="HC13" s="529"/>
      <c r="HD13" s="529"/>
      <c r="HE13" s="529"/>
      <c r="HF13" s="529"/>
      <c r="HG13" s="529"/>
      <c r="HH13" s="529"/>
      <c r="HI13" s="529"/>
      <c r="HJ13" s="529"/>
      <c r="HK13" s="529"/>
      <c r="HL13" s="529"/>
      <c r="HM13" s="529"/>
      <c r="HN13" s="529"/>
      <c r="HO13" s="529"/>
      <c r="HP13" s="529"/>
      <c r="HQ13" s="529"/>
      <c r="HR13" s="529"/>
      <c r="HS13" s="529"/>
      <c r="HT13" s="529"/>
      <c r="HU13" s="529"/>
      <c r="HV13" s="529"/>
      <c r="HW13" s="529"/>
      <c r="HX13" s="529"/>
      <c r="HY13" s="529"/>
      <c r="HZ13" s="529"/>
      <c r="IA13" s="529"/>
      <c r="IB13" s="529"/>
      <c r="IC13" s="529"/>
      <c r="ID13" s="529"/>
      <c r="IE13" s="533"/>
      <c r="IF13" s="534"/>
      <c r="IG13" s="534"/>
      <c r="IH13" s="534"/>
      <c r="II13" s="535"/>
      <c r="IJ13" s="535"/>
      <c r="IK13" s="535"/>
      <c r="IL13" s="535"/>
      <c r="IM13" s="535"/>
      <c r="IN13" s="535"/>
      <c r="IO13" s="535"/>
    </row>
    <row r="14" spans="1:249" s="32" customFormat="1" ht="46.5" customHeight="1" x14ac:dyDescent="0.25">
      <c r="B14" s="736" t="s">
        <v>488</v>
      </c>
      <c r="C14" s="737"/>
      <c r="D14" s="77"/>
      <c r="E14" s="78"/>
      <c r="F14" s="78"/>
      <c r="G14" s="78"/>
      <c r="H14" s="78"/>
      <c r="I14" s="78"/>
      <c r="J14" s="78"/>
      <c r="K14" s="78"/>
      <c r="L14" s="78"/>
      <c r="M14" s="78"/>
      <c r="N14" s="78"/>
      <c r="O14" s="78"/>
      <c r="P14" s="78"/>
      <c r="Q14" s="77"/>
      <c r="R14" s="78"/>
      <c r="S14" s="78"/>
      <c r="T14" s="77"/>
      <c r="U14" s="77"/>
      <c r="V14" s="77"/>
      <c r="W14" s="77"/>
      <c r="X14" s="77"/>
      <c r="Y14" s="77"/>
      <c r="Z14" s="79">
        <f t="shared" ref="Z14:AN14" si="33">Z397</f>
        <v>683000</v>
      </c>
      <c r="AA14" s="79">
        <f t="shared" si="33"/>
        <v>0</v>
      </c>
      <c r="AB14" s="79">
        <f t="shared" si="33"/>
        <v>683000</v>
      </c>
      <c r="AC14" s="79">
        <f t="shared" si="33"/>
        <v>0</v>
      </c>
      <c r="AD14" s="79">
        <f t="shared" si="33"/>
        <v>0</v>
      </c>
      <c r="AE14" s="79">
        <f t="shared" si="33"/>
        <v>0</v>
      </c>
      <c r="AF14" s="79" t="e">
        <f t="shared" si="33"/>
        <v>#REF!</v>
      </c>
      <c r="AG14" s="79">
        <f t="shared" si="33"/>
        <v>0</v>
      </c>
      <c r="AH14" s="79" t="e">
        <f t="shared" si="33"/>
        <v>#REF!</v>
      </c>
      <c r="AI14" s="79">
        <f t="shared" si="33"/>
        <v>0</v>
      </c>
      <c r="AJ14" s="79" t="e">
        <f t="shared" si="33"/>
        <v>#REF!</v>
      </c>
      <c r="AK14" s="79" t="e">
        <f t="shared" si="33"/>
        <v>#REF!</v>
      </c>
      <c r="AL14" s="79" t="e">
        <f t="shared" si="33"/>
        <v>#REF!</v>
      </c>
      <c r="AM14" s="79" t="e">
        <f t="shared" si="33"/>
        <v>#VALUE!</v>
      </c>
      <c r="AN14" s="79" t="e">
        <f t="shared" si="33"/>
        <v>#VALUE!</v>
      </c>
      <c r="AO14" s="80">
        <v>1</v>
      </c>
      <c r="AP14" s="79">
        <f t="shared" ref="AP14:BJ14" si="34">AP397</f>
        <v>0</v>
      </c>
      <c r="AQ14" s="79">
        <f t="shared" si="34"/>
        <v>0</v>
      </c>
      <c r="AR14" s="79" t="e">
        <f t="shared" si="34"/>
        <v>#REF!</v>
      </c>
      <c r="AS14" s="79">
        <f t="shared" si="34"/>
        <v>448761.3</v>
      </c>
      <c r="AT14" s="79" t="e">
        <f t="shared" si="34"/>
        <v>#REF!</v>
      </c>
      <c r="AU14" s="79">
        <f t="shared" si="34"/>
        <v>448761.3</v>
      </c>
      <c r="AV14" s="79" t="e">
        <f t="shared" si="34"/>
        <v>#REF!</v>
      </c>
      <c r="AW14" s="79">
        <f t="shared" si="34"/>
        <v>0</v>
      </c>
      <c r="AX14" s="79" t="e">
        <f t="shared" si="34"/>
        <v>#REF!</v>
      </c>
      <c r="AY14" s="79" t="e">
        <f t="shared" si="34"/>
        <v>#REF!</v>
      </c>
      <c r="AZ14" s="79" t="e">
        <f t="shared" si="34"/>
        <v>#REF!</v>
      </c>
      <c r="BA14" s="79" t="e">
        <f t="shared" si="34"/>
        <v>#REF!</v>
      </c>
      <c r="BB14" s="79" t="e">
        <f t="shared" si="34"/>
        <v>#REF!</v>
      </c>
      <c r="BC14" s="79" t="e">
        <f t="shared" si="34"/>
        <v>#REF!</v>
      </c>
      <c r="BD14" s="79" t="e">
        <f t="shared" si="34"/>
        <v>#REF!</v>
      </c>
      <c r="BE14" s="79" t="e">
        <f t="shared" si="34"/>
        <v>#REF!</v>
      </c>
      <c r="BF14" s="79" t="e">
        <f t="shared" si="34"/>
        <v>#REF!</v>
      </c>
      <c r="BG14" s="79" t="e">
        <f t="shared" si="34"/>
        <v>#REF!</v>
      </c>
      <c r="BH14" s="79" t="e">
        <f t="shared" si="34"/>
        <v>#REF!</v>
      </c>
      <c r="BI14" s="79" t="e">
        <f t="shared" si="34"/>
        <v>#REF!</v>
      </c>
      <c r="BJ14" s="79" t="e">
        <f t="shared" si="34"/>
        <v>#REF!</v>
      </c>
      <c r="BK14" s="81">
        <v>1</v>
      </c>
      <c r="BL14" s="79" t="e">
        <f t="shared" ref="BL14:CA14" si="35">BL397</f>
        <v>#REF!</v>
      </c>
      <c r="BM14" s="79">
        <f t="shared" si="35"/>
        <v>0</v>
      </c>
      <c r="BN14" s="79">
        <f t="shared" si="35"/>
        <v>0</v>
      </c>
      <c r="BO14" s="79">
        <f t="shared" si="35"/>
        <v>0</v>
      </c>
      <c r="BP14" s="79">
        <f t="shared" si="35"/>
        <v>0</v>
      </c>
      <c r="BQ14" s="79">
        <f t="shared" si="35"/>
        <v>0</v>
      </c>
      <c r="BR14" s="79">
        <f t="shared" si="35"/>
        <v>0</v>
      </c>
      <c r="BS14" s="79">
        <f t="shared" si="35"/>
        <v>0</v>
      </c>
      <c r="BT14" s="79">
        <f t="shared" si="35"/>
        <v>0</v>
      </c>
      <c r="BU14" s="79">
        <f t="shared" si="35"/>
        <v>0</v>
      </c>
      <c r="BV14" s="79" t="e">
        <f t="shared" si="35"/>
        <v>#REF!</v>
      </c>
      <c r="BW14" s="79">
        <f t="shared" si="35"/>
        <v>0</v>
      </c>
      <c r="BX14" s="79" t="e">
        <f t="shared" si="35"/>
        <v>#REF!</v>
      </c>
      <c r="BY14" s="79" t="e">
        <f t="shared" si="35"/>
        <v>#REF!</v>
      </c>
      <c r="BZ14" s="79">
        <f t="shared" si="35"/>
        <v>0</v>
      </c>
      <c r="CA14" s="79" t="e">
        <f t="shared" si="35"/>
        <v>#REF!</v>
      </c>
      <c r="CB14" s="79" t="e">
        <f>CC14+CD14</f>
        <v>#REF!</v>
      </c>
      <c r="CC14" s="79">
        <f>CC397</f>
        <v>0</v>
      </c>
      <c r="CD14" s="79" t="e">
        <f>CD29+CD361</f>
        <v>#REF!</v>
      </c>
      <c r="CE14" s="79">
        <v>1</v>
      </c>
      <c r="CF14" s="79" t="e">
        <f>CF397</f>
        <v>#REF!</v>
      </c>
      <c r="CG14" s="79"/>
      <c r="CH14" s="79" t="e">
        <f t="shared" ref="CH14:CS14" si="36">CH397</f>
        <v>#REF!</v>
      </c>
      <c r="CI14" s="79" t="e">
        <f t="shared" si="36"/>
        <v>#REF!</v>
      </c>
      <c r="CJ14" s="79" t="e">
        <f t="shared" si="36"/>
        <v>#REF!</v>
      </c>
      <c r="CK14" s="79" t="e">
        <f t="shared" si="36"/>
        <v>#REF!</v>
      </c>
      <c r="CL14" s="79" t="e">
        <f t="shared" si="36"/>
        <v>#REF!</v>
      </c>
      <c r="CM14" s="79" t="e">
        <f t="shared" si="36"/>
        <v>#REF!</v>
      </c>
      <c r="CN14" s="79">
        <f t="shared" si="36"/>
        <v>0</v>
      </c>
      <c r="CO14" s="79">
        <f t="shared" si="36"/>
        <v>0</v>
      </c>
      <c r="CP14" s="79">
        <f t="shared" si="36"/>
        <v>0</v>
      </c>
      <c r="CQ14" s="79" t="e">
        <f t="shared" si="36"/>
        <v>#REF!</v>
      </c>
      <c r="CR14" s="79" t="e">
        <f t="shared" si="36"/>
        <v>#REF!</v>
      </c>
      <c r="CS14" s="79" t="e">
        <f t="shared" si="36"/>
        <v>#REF!</v>
      </c>
      <c r="CT14" s="79" t="e">
        <f>CU14+CV14</f>
        <v>#REF!</v>
      </c>
      <c r="CU14" s="79">
        <f>CU397</f>
        <v>0</v>
      </c>
      <c r="CV14" s="79" t="e">
        <f>CV29+CV361</f>
        <v>#REF!</v>
      </c>
      <c r="CW14" s="82" t="e">
        <f>CX14+CY14</f>
        <v>#REF!</v>
      </c>
      <c r="CX14" s="82">
        <f>CX397</f>
        <v>0</v>
      </c>
      <c r="CY14" s="82" t="e">
        <f>CY29+CY361</f>
        <v>#REF!</v>
      </c>
      <c r="CZ14" s="82" t="e">
        <f>DA14+DB14</f>
        <v>#REF!</v>
      </c>
      <c r="DA14" s="82">
        <f>DA397</f>
        <v>0</v>
      </c>
      <c r="DB14" s="82" t="e">
        <f>DB29+DB361</f>
        <v>#REF!</v>
      </c>
      <c r="DC14" s="82">
        <f>DC397</f>
        <v>380350</v>
      </c>
      <c r="DD14" s="82">
        <f>DD397</f>
        <v>0</v>
      </c>
      <c r="DE14" s="82">
        <f>DE397</f>
        <v>380350</v>
      </c>
      <c r="DF14" s="82" t="e">
        <f>DG14+DH14</f>
        <v>#REF!</v>
      </c>
      <c r="DG14" s="82">
        <f>DG397</f>
        <v>0</v>
      </c>
      <c r="DH14" s="82" t="e">
        <f>DH29+DH361</f>
        <v>#REF!</v>
      </c>
      <c r="DI14" s="82" t="e">
        <f>DJ14+DK14</f>
        <v>#REF!</v>
      </c>
      <c r="DJ14" s="82">
        <f>DJ397</f>
        <v>0</v>
      </c>
      <c r="DK14" s="82" t="e">
        <f>DK29+DK361</f>
        <v>#REF!</v>
      </c>
      <c r="DL14" s="82" t="e">
        <f>DM14+DN14</f>
        <v>#REF!</v>
      </c>
      <c r="DM14" s="82">
        <f>DM397</f>
        <v>0</v>
      </c>
      <c r="DN14" s="82" t="e">
        <f>DN29+DN361</f>
        <v>#REF!</v>
      </c>
      <c r="DO14" s="82" t="e">
        <f>DP14+DQ14</f>
        <v>#REF!</v>
      </c>
      <c r="DP14" s="82">
        <f>DP397</f>
        <v>0</v>
      </c>
      <c r="DQ14" s="82" t="e">
        <f>DQ29+DQ361</f>
        <v>#REF!</v>
      </c>
      <c r="DR14" s="82" t="e">
        <f>DS14+DT14</f>
        <v>#REF!</v>
      </c>
      <c r="DS14" s="82">
        <f>DS397</f>
        <v>0</v>
      </c>
      <c r="DT14" s="82" t="e">
        <f>DT29+DT361</f>
        <v>#REF!</v>
      </c>
      <c r="DU14" s="82">
        <f t="shared" ref="DU14:EF14" si="37">DU397</f>
        <v>1153090.28</v>
      </c>
      <c r="DV14" s="82">
        <f t="shared" si="37"/>
        <v>0</v>
      </c>
      <c r="DW14" s="82">
        <f t="shared" si="37"/>
        <v>1153090.28</v>
      </c>
      <c r="DX14" s="82" t="e">
        <f t="shared" si="37"/>
        <v>#REF!</v>
      </c>
      <c r="DY14" s="82">
        <f t="shared" si="37"/>
        <v>0</v>
      </c>
      <c r="DZ14" s="82" t="e">
        <f t="shared" si="37"/>
        <v>#REF!</v>
      </c>
      <c r="EA14" s="82">
        <f t="shared" si="37"/>
        <v>443142</v>
      </c>
      <c r="EB14" s="82">
        <f t="shared" si="37"/>
        <v>0</v>
      </c>
      <c r="EC14" s="82">
        <f t="shared" si="37"/>
        <v>443142</v>
      </c>
      <c r="ED14" s="82">
        <f t="shared" si="37"/>
        <v>-226486.06200000001</v>
      </c>
      <c r="EE14" s="82">
        <f t="shared" si="37"/>
        <v>0</v>
      </c>
      <c r="EF14" s="82">
        <f t="shared" si="37"/>
        <v>-226486.06200000001</v>
      </c>
      <c r="EG14" s="82">
        <f>EH14+EI14+EJ14</f>
        <v>1182688.0908199998</v>
      </c>
      <c r="EH14" s="82">
        <v>0</v>
      </c>
      <c r="EI14" s="82">
        <v>0</v>
      </c>
      <c r="EJ14" s="82">
        <f>EJ29+EJ361</f>
        <v>1182688.0908199998</v>
      </c>
      <c r="EK14" s="82">
        <f>EL14+EM14+EN14</f>
        <v>-67398.10282</v>
      </c>
      <c r="EL14" s="82">
        <v>0</v>
      </c>
      <c r="EM14" s="82">
        <v>0</v>
      </c>
      <c r="EN14" s="82">
        <f>EN29+EN361</f>
        <v>-67398.10282</v>
      </c>
      <c r="EO14" s="82" t="e">
        <f>EO397</f>
        <v>#REF!</v>
      </c>
      <c r="EP14" s="82">
        <f>EP397</f>
        <v>0</v>
      </c>
      <c r="EQ14" s="82">
        <f>EQ397</f>
        <v>0</v>
      </c>
      <c r="ER14" s="82" t="e">
        <f>ER397</f>
        <v>#REF!</v>
      </c>
      <c r="ES14" s="82">
        <f>ET14+EU14+EV14</f>
        <v>-113739.90174999993</v>
      </c>
      <c r="ET14" s="82">
        <v>0</v>
      </c>
      <c r="EU14" s="82">
        <v>0</v>
      </c>
      <c r="EV14" s="82">
        <f>EV29+EV361</f>
        <v>-113739.90174999993</v>
      </c>
      <c r="EW14" s="82">
        <f t="shared" ref="EW14:FB14" si="38">EW397</f>
        <v>827651.3</v>
      </c>
      <c r="EX14" s="82">
        <f t="shared" si="38"/>
        <v>0</v>
      </c>
      <c r="EY14" s="82">
        <f t="shared" si="38"/>
        <v>827651.3</v>
      </c>
      <c r="EZ14" s="82">
        <f t="shared" si="38"/>
        <v>0</v>
      </c>
      <c r="FA14" s="82">
        <f t="shared" si="38"/>
        <v>0</v>
      </c>
      <c r="FB14" s="82">
        <f t="shared" si="38"/>
        <v>0</v>
      </c>
      <c r="FC14" s="83">
        <f>FF14</f>
        <v>1597286.84449</v>
      </c>
      <c r="FD14" s="83">
        <v>0</v>
      </c>
      <c r="FE14" s="83">
        <v>0</v>
      </c>
      <c r="FF14" s="83">
        <f>FF29+FF361</f>
        <v>1597286.84449</v>
      </c>
      <c r="FG14" s="83">
        <f>FH14+FI14+FJ14</f>
        <v>53229.147620000025</v>
      </c>
      <c r="FH14" s="83">
        <v>0</v>
      </c>
      <c r="FI14" s="83">
        <v>0</v>
      </c>
      <c r="FJ14" s="83">
        <f>FJ29+FJ361</f>
        <v>53229.147620000025</v>
      </c>
      <c r="FK14" s="83" t="e">
        <f>FK29+FK364+FK371</f>
        <v>#REF!</v>
      </c>
      <c r="FL14" s="83">
        <f>FL397</f>
        <v>0</v>
      </c>
      <c r="FM14" s="83">
        <f>FM397</f>
        <v>0</v>
      </c>
      <c r="FN14" s="83" t="e">
        <f>FN29+FN364+FN371</f>
        <v>#REF!</v>
      </c>
      <c r="FO14" s="83">
        <f>FR14</f>
        <v>1528895.2624700002</v>
      </c>
      <c r="FP14" s="83">
        <v>0</v>
      </c>
      <c r="FQ14" s="83">
        <v>0</v>
      </c>
      <c r="FR14" s="83">
        <f>FR29+FR361</f>
        <v>1528895.2624700002</v>
      </c>
      <c r="FS14" s="83">
        <f t="shared" si="6"/>
        <v>458063.04460000002</v>
      </c>
      <c r="FT14" s="488">
        <f t="shared" si="7"/>
        <v>0.28677569478527548</v>
      </c>
      <c r="FU14" s="83">
        <v>0</v>
      </c>
      <c r="FV14" s="488">
        <v>0</v>
      </c>
      <c r="FW14" s="83">
        <v>0</v>
      </c>
      <c r="FX14" s="488">
        <v>0</v>
      </c>
      <c r="FY14" s="83">
        <f>FY29+FY361</f>
        <v>458063.04460000002</v>
      </c>
      <c r="FZ14" s="488">
        <f t="shared" si="9"/>
        <v>0.28677569478527548</v>
      </c>
      <c r="GA14" s="83">
        <f t="shared" si="10"/>
        <v>458063.04460000002</v>
      </c>
      <c r="GB14" s="488">
        <f t="shared" si="11"/>
        <v>0.28677569478527548</v>
      </c>
      <c r="GC14" s="83">
        <v>0</v>
      </c>
      <c r="GD14" s="488">
        <v>0</v>
      </c>
      <c r="GE14" s="83">
        <v>0</v>
      </c>
      <c r="GF14" s="488">
        <v>0</v>
      </c>
      <c r="GG14" s="83">
        <f>GG29+GG361</f>
        <v>458063.04460000002</v>
      </c>
      <c r="GH14" s="488">
        <f t="shared" si="13"/>
        <v>0.28677569478527548</v>
      </c>
      <c r="GI14" s="83">
        <f t="shared" si="14"/>
        <v>1588460.8187200003</v>
      </c>
      <c r="GJ14" s="488">
        <f t="shared" si="15"/>
        <v>0.99447436395006572</v>
      </c>
      <c r="GK14" s="83">
        <v>0</v>
      </c>
      <c r="GL14" s="488">
        <v>0</v>
      </c>
      <c r="GM14" s="83">
        <v>0</v>
      </c>
      <c r="GN14" s="485">
        <v>0</v>
      </c>
      <c r="GO14" s="83">
        <f>GO29+GO361</f>
        <v>1588460.8187200003</v>
      </c>
      <c r="GP14" s="488">
        <f t="shared" si="17"/>
        <v>0.99447436395006572</v>
      </c>
      <c r="GQ14" s="82"/>
      <c r="GR14" s="82"/>
      <c r="GS14" s="82"/>
      <c r="GT14" s="82"/>
      <c r="GU14" s="82">
        <f>GV14+GW14+GX14</f>
        <v>1448502.4561800002</v>
      </c>
      <c r="GV14" s="82">
        <v>0</v>
      </c>
      <c r="GW14" s="82">
        <v>0</v>
      </c>
      <c r="GX14" s="82">
        <f>GX29+GX361</f>
        <v>1448502.4561800002</v>
      </c>
      <c r="GY14" s="82"/>
      <c r="GZ14" s="82"/>
      <c r="HA14" s="82"/>
      <c r="HB14" s="82"/>
      <c r="HC14" s="82"/>
      <c r="HD14" s="82"/>
      <c r="HE14" s="82"/>
      <c r="HF14" s="82"/>
      <c r="HG14" s="82">
        <f>HJ14</f>
        <v>0</v>
      </c>
      <c r="HH14" s="82">
        <v>0</v>
      </c>
      <c r="HI14" s="82">
        <v>0</v>
      </c>
      <c r="HJ14" s="82">
        <f>HJ29+HJ361</f>
        <v>0</v>
      </c>
      <c r="HK14" s="82">
        <f>HK29+HK364+HK371</f>
        <v>0</v>
      </c>
      <c r="HL14" s="82">
        <v>0</v>
      </c>
      <c r="HM14" s="82">
        <v>0</v>
      </c>
      <c r="HN14" s="82">
        <f>HN29+HN361</f>
        <v>0</v>
      </c>
      <c r="HO14" s="82">
        <f>HR14</f>
        <v>1448502.45618</v>
      </c>
      <c r="HP14" s="82">
        <v>0</v>
      </c>
      <c r="HQ14" s="82">
        <v>0</v>
      </c>
      <c r="HR14" s="82">
        <f>HR29+HR361</f>
        <v>1448502.45618</v>
      </c>
      <c r="HS14" s="82">
        <f>HT14+HU14+HV14</f>
        <v>1251082.69157</v>
      </c>
      <c r="HT14" s="82">
        <v>0</v>
      </c>
      <c r="HU14" s="82">
        <v>0</v>
      </c>
      <c r="HV14" s="82">
        <f>HV29+HV361</f>
        <v>1251082.69157</v>
      </c>
      <c r="HW14" s="82">
        <f>HW29+HW364+HW371</f>
        <v>0</v>
      </c>
      <c r="HX14" s="82">
        <f>HX29+HX364+HX371</f>
        <v>372392.68657000002</v>
      </c>
      <c r="HY14" s="82">
        <f>HY397</f>
        <v>0</v>
      </c>
      <c r="HZ14" s="82">
        <f>HZ29+HZ364+HZ371</f>
        <v>-372392.68657000002</v>
      </c>
      <c r="IA14" s="82">
        <f>IB14+IC14+ID14</f>
        <v>1251082.69157</v>
      </c>
      <c r="IB14" s="83">
        <f>IB29+IB361</f>
        <v>372392.68657000002</v>
      </c>
      <c r="IC14" s="82">
        <v>0</v>
      </c>
      <c r="ID14" s="83">
        <f>ID29+ID361</f>
        <v>878690.005</v>
      </c>
      <c r="IE14" s="40"/>
      <c r="IF14" s="41"/>
      <c r="IG14" s="41"/>
      <c r="IH14" s="41"/>
      <c r="II14" s="42"/>
      <c r="IJ14" s="42"/>
      <c r="IK14" s="42"/>
      <c r="IL14" s="42"/>
      <c r="IM14" s="42"/>
      <c r="IN14" s="42"/>
      <c r="IO14" s="42"/>
    </row>
    <row r="15" spans="1:249" s="598" customFormat="1" ht="45" customHeight="1" x14ac:dyDescent="0.25">
      <c r="B15" s="722" t="s">
        <v>122</v>
      </c>
      <c r="C15" s="723"/>
      <c r="D15" s="57"/>
      <c r="E15" s="58"/>
      <c r="F15" s="58"/>
      <c r="G15" s="58"/>
      <c r="H15" s="58"/>
      <c r="I15" s="58"/>
      <c r="J15" s="58"/>
      <c r="K15" s="58"/>
      <c r="L15" s="58"/>
      <c r="M15" s="58"/>
      <c r="N15" s="58"/>
      <c r="O15" s="58"/>
      <c r="P15" s="58"/>
      <c r="Q15" s="57"/>
      <c r="R15" s="58"/>
      <c r="S15" s="58"/>
      <c r="T15" s="57"/>
      <c r="U15" s="57"/>
      <c r="V15" s="57"/>
      <c r="W15" s="57"/>
      <c r="X15" s="57"/>
      <c r="Y15" s="57"/>
      <c r="Z15" s="59" t="e">
        <f t="shared" ref="Z15:AN15" si="39">Z387</f>
        <v>#REF!</v>
      </c>
      <c r="AA15" s="59" t="e">
        <f t="shared" si="39"/>
        <v>#REF!</v>
      </c>
      <c r="AB15" s="59">
        <f t="shared" si="39"/>
        <v>0</v>
      </c>
      <c r="AC15" s="59">
        <f t="shared" si="39"/>
        <v>0</v>
      </c>
      <c r="AD15" s="59">
        <f t="shared" si="39"/>
        <v>0</v>
      </c>
      <c r="AE15" s="59">
        <f t="shared" si="39"/>
        <v>0</v>
      </c>
      <c r="AF15" s="59" t="e">
        <f t="shared" si="39"/>
        <v>#REF!</v>
      </c>
      <c r="AG15" s="59" t="e">
        <f t="shared" si="39"/>
        <v>#REF!</v>
      </c>
      <c r="AH15" s="59">
        <f t="shared" si="39"/>
        <v>0</v>
      </c>
      <c r="AI15" s="59">
        <f t="shared" si="39"/>
        <v>0</v>
      </c>
      <c r="AJ15" s="59">
        <f t="shared" si="39"/>
        <v>0</v>
      </c>
      <c r="AK15" s="59" t="e">
        <f t="shared" si="39"/>
        <v>#REF!</v>
      </c>
      <c r="AL15" s="59" t="e">
        <f t="shared" si="39"/>
        <v>#REF!</v>
      </c>
      <c r="AM15" s="59" t="str">
        <f t="shared" si="39"/>
        <v xml:space="preserve">Объем бюджетных ассигнований на 2017 год соответствует объему бюджетных ассигнований, предусмотренных на 2016г. </v>
      </c>
      <c r="AN15" s="59" t="str">
        <f t="shared" si="39"/>
        <v xml:space="preserve">Объем бюджетных ассигнований на 2017 год соответствует объему бюджетных ассигнований, предусмотренных на 2016г. </v>
      </c>
      <c r="AO15" s="60">
        <v>1</v>
      </c>
      <c r="AP15" s="59">
        <f t="shared" ref="AP15:BJ15" si="40">AP387</f>
        <v>19700</v>
      </c>
      <c r="AQ15" s="59">
        <f t="shared" si="40"/>
        <v>0</v>
      </c>
      <c r="AR15" s="59">
        <f t="shared" si="40"/>
        <v>0</v>
      </c>
      <c r="AS15" s="59">
        <f t="shared" si="40"/>
        <v>20000.400000000001</v>
      </c>
      <c r="AT15" s="59">
        <f t="shared" si="40"/>
        <v>20000.400000000001</v>
      </c>
      <c r="AU15" s="59">
        <f t="shared" si="40"/>
        <v>0</v>
      </c>
      <c r="AV15" s="59">
        <f t="shared" si="40"/>
        <v>0</v>
      </c>
      <c r="AW15" s="59">
        <f t="shared" si="40"/>
        <v>0</v>
      </c>
      <c r="AX15" s="59">
        <f t="shared" si="40"/>
        <v>0</v>
      </c>
      <c r="AY15" s="59">
        <f t="shared" si="40"/>
        <v>20000.400000000001</v>
      </c>
      <c r="AZ15" s="59">
        <f t="shared" si="40"/>
        <v>20000.400000000001</v>
      </c>
      <c r="BA15" s="59">
        <f t="shared" si="40"/>
        <v>0</v>
      </c>
      <c r="BB15" s="59">
        <f t="shared" si="40"/>
        <v>0</v>
      </c>
      <c r="BC15" s="59">
        <f t="shared" si="40"/>
        <v>0</v>
      </c>
      <c r="BD15" s="59">
        <f t="shared" si="40"/>
        <v>0</v>
      </c>
      <c r="BE15" s="59">
        <f t="shared" si="40"/>
        <v>-0.40000000000145519</v>
      </c>
      <c r="BF15" s="59">
        <f t="shared" si="40"/>
        <v>-0.40000000000145519</v>
      </c>
      <c r="BG15" s="59">
        <f t="shared" si="40"/>
        <v>0</v>
      </c>
      <c r="BH15" s="59">
        <f t="shared" si="40"/>
        <v>20000</v>
      </c>
      <c r="BI15" s="59">
        <f t="shared" si="40"/>
        <v>20000</v>
      </c>
      <c r="BJ15" s="59">
        <f t="shared" si="40"/>
        <v>0</v>
      </c>
      <c r="BK15" s="61">
        <v>1</v>
      </c>
      <c r="BL15" s="59">
        <f t="shared" ref="BL15:CD15" si="41">BL387</f>
        <v>20000.400000000001</v>
      </c>
      <c r="BM15" s="59">
        <f t="shared" si="41"/>
        <v>20000</v>
      </c>
      <c r="BN15" s="59">
        <f t="shared" si="41"/>
        <v>20000</v>
      </c>
      <c r="BO15" s="59">
        <f t="shared" si="41"/>
        <v>0</v>
      </c>
      <c r="BP15" s="59">
        <f t="shared" si="41"/>
        <v>0</v>
      </c>
      <c r="BQ15" s="59">
        <f t="shared" si="41"/>
        <v>0</v>
      </c>
      <c r="BR15" s="59">
        <f t="shared" si="41"/>
        <v>0</v>
      </c>
      <c r="BS15" s="59">
        <f t="shared" si="41"/>
        <v>0</v>
      </c>
      <c r="BT15" s="59">
        <f t="shared" si="41"/>
        <v>0</v>
      </c>
      <c r="BU15" s="59">
        <f t="shared" si="41"/>
        <v>0</v>
      </c>
      <c r="BV15" s="59">
        <f t="shared" si="41"/>
        <v>20000.400000000001</v>
      </c>
      <c r="BW15" s="59">
        <f t="shared" si="41"/>
        <v>20000.400000000001</v>
      </c>
      <c r="BX15" s="59">
        <f t="shared" si="41"/>
        <v>0</v>
      </c>
      <c r="BY15" s="59">
        <f t="shared" si="41"/>
        <v>0</v>
      </c>
      <c r="BZ15" s="59">
        <f t="shared" si="41"/>
        <v>0</v>
      </c>
      <c r="CA15" s="59">
        <f t="shared" si="41"/>
        <v>0</v>
      </c>
      <c r="CB15" s="59">
        <f t="shared" si="41"/>
        <v>20000</v>
      </c>
      <c r="CC15" s="59">
        <f t="shared" si="41"/>
        <v>20000</v>
      </c>
      <c r="CD15" s="59">
        <f t="shared" si="41"/>
        <v>0</v>
      </c>
      <c r="CE15" s="59">
        <v>1</v>
      </c>
      <c r="CF15" s="59">
        <f>CF387</f>
        <v>20000.400000000001</v>
      </c>
      <c r="CG15" s="59"/>
      <c r="CH15" s="59" t="e">
        <f t="shared" ref="CH15:CV15" si="42">CH387</f>
        <v>#REF!</v>
      </c>
      <c r="CI15" s="59" t="e">
        <f t="shared" si="42"/>
        <v>#REF!</v>
      </c>
      <c r="CJ15" s="59">
        <f t="shared" si="42"/>
        <v>0</v>
      </c>
      <c r="CK15" s="59" t="e">
        <f t="shared" si="42"/>
        <v>#REF!</v>
      </c>
      <c r="CL15" s="59" t="e">
        <f t="shared" si="42"/>
        <v>#REF!</v>
      </c>
      <c r="CM15" s="59">
        <f t="shared" si="42"/>
        <v>0</v>
      </c>
      <c r="CN15" s="59">
        <f t="shared" si="42"/>
        <v>0</v>
      </c>
      <c r="CO15" s="59">
        <f t="shared" si="42"/>
        <v>0</v>
      </c>
      <c r="CP15" s="59">
        <f t="shared" si="42"/>
        <v>0</v>
      </c>
      <c r="CQ15" s="59">
        <f t="shared" si="42"/>
        <v>20000</v>
      </c>
      <c r="CR15" s="59">
        <f t="shared" si="42"/>
        <v>20000</v>
      </c>
      <c r="CS15" s="59">
        <f t="shared" si="42"/>
        <v>0</v>
      </c>
      <c r="CT15" s="59">
        <f t="shared" si="42"/>
        <v>0</v>
      </c>
      <c r="CU15" s="59">
        <f t="shared" si="42"/>
        <v>0</v>
      </c>
      <c r="CV15" s="59">
        <f t="shared" si="42"/>
        <v>0</v>
      </c>
      <c r="CW15" s="62">
        <f>CX15+CY15</f>
        <v>20000</v>
      </c>
      <c r="CX15" s="62">
        <f>CX387</f>
        <v>20000</v>
      </c>
      <c r="CY15" s="62">
        <v>0</v>
      </c>
      <c r="CZ15" s="62">
        <f>DA15+DB15</f>
        <v>20000</v>
      </c>
      <c r="DA15" s="62">
        <f>DA387</f>
        <v>20000</v>
      </c>
      <c r="DB15" s="62"/>
      <c r="DC15" s="62">
        <f>DC387</f>
        <v>0</v>
      </c>
      <c r="DD15" s="62">
        <f>DD387</f>
        <v>0</v>
      </c>
      <c r="DE15" s="62">
        <f>DE387</f>
        <v>0</v>
      </c>
      <c r="DF15" s="62">
        <f>DG15+DH15</f>
        <v>0</v>
      </c>
      <c r="DG15" s="62">
        <f>DJ15-CX15</f>
        <v>0</v>
      </c>
      <c r="DH15" s="62">
        <v>0</v>
      </c>
      <c r="DI15" s="62">
        <f>DJ15+DK15</f>
        <v>20000</v>
      </c>
      <c r="DJ15" s="62">
        <f>DJ387</f>
        <v>20000</v>
      </c>
      <c r="DK15" s="62">
        <v>0</v>
      </c>
      <c r="DL15" s="62">
        <f>DM15+DN15</f>
        <v>0</v>
      </c>
      <c r="DM15" s="62">
        <f>DM387</f>
        <v>0</v>
      </c>
      <c r="DN15" s="62"/>
      <c r="DO15" s="62">
        <f>DP15+DQ15</f>
        <v>0</v>
      </c>
      <c r="DP15" s="62">
        <f>DP387</f>
        <v>0</v>
      </c>
      <c r="DQ15" s="62"/>
      <c r="DR15" s="62">
        <f>DS15+DT15</f>
        <v>20000</v>
      </c>
      <c r="DS15" s="62">
        <f>DS387</f>
        <v>20000</v>
      </c>
      <c r="DT15" s="62"/>
      <c r="DU15" s="62">
        <f t="shared" ref="DU15:FC15" si="43">DU387</f>
        <v>20000</v>
      </c>
      <c r="DV15" s="62">
        <f t="shared" si="43"/>
        <v>20000</v>
      </c>
      <c r="DW15" s="62">
        <f t="shared" si="43"/>
        <v>0</v>
      </c>
      <c r="DX15" s="62">
        <f t="shared" si="43"/>
        <v>20000</v>
      </c>
      <c r="DY15" s="62">
        <f t="shared" si="43"/>
        <v>20000</v>
      </c>
      <c r="DZ15" s="62">
        <f t="shared" si="43"/>
        <v>0</v>
      </c>
      <c r="EA15" s="62">
        <f t="shared" si="43"/>
        <v>0</v>
      </c>
      <c r="EB15" s="62">
        <f t="shared" si="43"/>
        <v>0</v>
      </c>
      <c r="EC15" s="62">
        <f t="shared" si="43"/>
        <v>0</v>
      </c>
      <c r="ED15" s="62">
        <f t="shared" si="43"/>
        <v>0</v>
      </c>
      <c r="EE15" s="62">
        <f t="shared" si="43"/>
        <v>0</v>
      </c>
      <c r="EF15" s="62">
        <f t="shared" si="43"/>
        <v>0</v>
      </c>
      <c r="EG15" s="62">
        <f t="shared" si="43"/>
        <v>20000</v>
      </c>
      <c r="EH15" s="62">
        <f t="shared" si="43"/>
        <v>20000</v>
      </c>
      <c r="EI15" s="62">
        <f t="shared" si="43"/>
        <v>0</v>
      </c>
      <c r="EJ15" s="62">
        <f t="shared" si="43"/>
        <v>0</v>
      </c>
      <c r="EK15" s="62">
        <f t="shared" si="43"/>
        <v>-20000</v>
      </c>
      <c r="EL15" s="62">
        <f t="shared" si="43"/>
        <v>-20000</v>
      </c>
      <c r="EM15" s="62">
        <f t="shared" si="43"/>
        <v>0</v>
      </c>
      <c r="EN15" s="62">
        <f t="shared" si="43"/>
        <v>0</v>
      </c>
      <c r="EO15" s="62">
        <f t="shared" si="43"/>
        <v>0</v>
      </c>
      <c r="EP15" s="62">
        <f t="shared" si="43"/>
        <v>0</v>
      </c>
      <c r="EQ15" s="62">
        <f t="shared" si="43"/>
        <v>0</v>
      </c>
      <c r="ER15" s="62">
        <f t="shared" si="43"/>
        <v>0</v>
      </c>
      <c r="ES15" s="62">
        <f t="shared" si="43"/>
        <v>0</v>
      </c>
      <c r="ET15" s="62">
        <f t="shared" si="43"/>
        <v>0</v>
      </c>
      <c r="EU15" s="62">
        <f t="shared" si="43"/>
        <v>0</v>
      </c>
      <c r="EV15" s="62">
        <f t="shared" si="43"/>
        <v>0</v>
      </c>
      <c r="EW15" s="62">
        <f t="shared" si="43"/>
        <v>20000</v>
      </c>
      <c r="EX15" s="62">
        <f t="shared" si="43"/>
        <v>20000</v>
      </c>
      <c r="EY15" s="62">
        <f t="shared" si="43"/>
        <v>0</v>
      </c>
      <c r="EZ15" s="62">
        <f t="shared" si="43"/>
        <v>0</v>
      </c>
      <c r="FA15" s="62">
        <f t="shared" si="43"/>
        <v>0</v>
      </c>
      <c r="FB15" s="62">
        <f t="shared" si="43"/>
        <v>0</v>
      </c>
      <c r="FC15" s="84">
        <f t="shared" si="43"/>
        <v>20000</v>
      </c>
      <c r="FD15" s="84">
        <f t="shared" ref="FD15:FR15" si="44">FD387</f>
        <v>19922</v>
      </c>
      <c r="FE15" s="84">
        <f t="shared" si="44"/>
        <v>0</v>
      </c>
      <c r="FF15" s="84">
        <f t="shared" si="44"/>
        <v>78</v>
      </c>
      <c r="FG15" s="84">
        <f t="shared" si="44"/>
        <v>0</v>
      </c>
      <c r="FH15" s="84">
        <f t="shared" si="44"/>
        <v>0</v>
      </c>
      <c r="FI15" s="84">
        <f t="shared" si="44"/>
        <v>0</v>
      </c>
      <c r="FJ15" s="84">
        <f t="shared" si="44"/>
        <v>0</v>
      </c>
      <c r="FK15" s="84">
        <f t="shared" si="44"/>
        <v>0</v>
      </c>
      <c r="FL15" s="84">
        <f t="shared" si="44"/>
        <v>0</v>
      </c>
      <c r="FM15" s="84">
        <f t="shared" si="44"/>
        <v>0</v>
      </c>
      <c r="FN15" s="84">
        <f t="shared" si="44"/>
        <v>0</v>
      </c>
      <c r="FO15" s="84">
        <f t="shared" si="44"/>
        <v>19922</v>
      </c>
      <c r="FP15" s="84">
        <f t="shared" si="44"/>
        <v>19922</v>
      </c>
      <c r="FQ15" s="84">
        <f t="shared" si="44"/>
        <v>0</v>
      </c>
      <c r="FR15" s="84">
        <f t="shared" si="44"/>
        <v>0</v>
      </c>
      <c r="FS15" s="84">
        <f t="shared" si="6"/>
        <v>4336.8699500000002</v>
      </c>
      <c r="FT15" s="486">
        <f t="shared" si="7"/>
        <v>0.21684349750000001</v>
      </c>
      <c r="FU15" s="84">
        <f>FU387</f>
        <v>4258.8699500000002</v>
      </c>
      <c r="FV15" s="486">
        <f t="shared" si="8"/>
        <v>0.21377722869189841</v>
      </c>
      <c r="FW15" s="84">
        <f>FW387</f>
        <v>0</v>
      </c>
      <c r="FX15" s="486">
        <v>0</v>
      </c>
      <c r="FY15" s="84">
        <f>FY387</f>
        <v>78</v>
      </c>
      <c r="FZ15" s="486">
        <v>0</v>
      </c>
      <c r="GA15" s="84">
        <f t="shared" si="10"/>
        <v>4336.8699500000002</v>
      </c>
      <c r="GB15" s="486">
        <f t="shared" si="11"/>
        <v>0.21684349750000001</v>
      </c>
      <c r="GC15" s="84">
        <f>GC387</f>
        <v>4258.8699500000002</v>
      </c>
      <c r="GD15" s="486">
        <f t="shared" si="12"/>
        <v>0.21377722869189841</v>
      </c>
      <c r="GE15" s="84">
        <f>GE387</f>
        <v>0</v>
      </c>
      <c r="GF15" s="486">
        <v>0</v>
      </c>
      <c r="GG15" s="84">
        <f>GG387</f>
        <v>78</v>
      </c>
      <c r="GH15" s="486">
        <v>0</v>
      </c>
      <c r="GI15" s="84">
        <f t="shared" si="14"/>
        <v>4336.8699500000002</v>
      </c>
      <c r="GJ15" s="486">
        <f t="shared" si="15"/>
        <v>0.21684349750000001</v>
      </c>
      <c r="GK15" s="84">
        <f>GK387</f>
        <v>4258.8699500000002</v>
      </c>
      <c r="GL15" s="486">
        <f t="shared" si="16"/>
        <v>0.21377722869189841</v>
      </c>
      <c r="GM15" s="84">
        <f>GM387</f>
        <v>0</v>
      </c>
      <c r="GN15" s="486">
        <v>0</v>
      </c>
      <c r="GO15" s="84">
        <f>GO387</f>
        <v>78</v>
      </c>
      <c r="GP15" s="486">
        <v>0</v>
      </c>
      <c r="GQ15" s="62"/>
      <c r="GR15" s="62"/>
      <c r="GS15" s="62"/>
      <c r="GT15" s="62"/>
      <c r="GU15" s="62">
        <f>GU387</f>
        <v>19922</v>
      </c>
      <c r="GV15" s="62">
        <f>GV387</f>
        <v>19922</v>
      </c>
      <c r="GW15" s="62">
        <f>GW387</f>
        <v>0</v>
      </c>
      <c r="GX15" s="62">
        <f>GX387</f>
        <v>0</v>
      </c>
      <c r="GY15" s="62"/>
      <c r="GZ15" s="62"/>
      <c r="HA15" s="62"/>
      <c r="HB15" s="62"/>
      <c r="HC15" s="62"/>
      <c r="HD15" s="62"/>
      <c r="HE15" s="62"/>
      <c r="HF15" s="62"/>
      <c r="HG15" s="62">
        <f t="shared" ref="HG15:ID15" si="45">HG387</f>
        <v>0</v>
      </c>
      <c r="HH15" s="62">
        <f t="shared" si="45"/>
        <v>0</v>
      </c>
      <c r="HI15" s="62">
        <f t="shared" si="45"/>
        <v>0</v>
      </c>
      <c r="HJ15" s="62">
        <f t="shared" si="45"/>
        <v>0</v>
      </c>
      <c r="HK15" s="62">
        <f t="shared" si="45"/>
        <v>0</v>
      </c>
      <c r="HL15" s="62">
        <f t="shared" si="45"/>
        <v>0</v>
      </c>
      <c r="HM15" s="62">
        <f t="shared" si="45"/>
        <v>0</v>
      </c>
      <c r="HN15" s="62">
        <f t="shared" si="45"/>
        <v>0</v>
      </c>
      <c r="HO15" s="62">
        <f t="shared" si="45"/>
        <v>19922</v>
      </c>
      <c r="HP15" s="62">
        <f t="shared" si="45"/>
        <v>19922</v>
      </c>
      <c r="HQ15" s="62">
        <f t="shared" si="45"/>
        <v>0</v>
      </c>
      <c r="HR15" s="62">
        <f t="shared" si="45"/>
        <v>0</v>
      </c>
      <c r="HS15" s="62">
        <f t="shared" si="45"/>
        <v>19922</v>
      </c>
      <c r="HT15" s="62">
        <f t="shared" si="45"/>
        <v>19922</v>
      </c>
      <c r="HU15" s="62">
        <f t="shared" si="45"/>
        <v>0</v>
      </c>
      <c r="HV15" s="62">
        <f t="shared" si="45"/>
        <v>0</v>
      </c>
      <c r="HW15" s="62">
        <f t="shared" si="45"/>
        <v>0</v>
      </c>
      <c r="HX15" s="62">
        <f t="shared" si="45"/>
        <v>0</v>
      </c>
      <c r="HY15" s="62">
        <f t="shared" si="45"/>
        <v>0</v>
      </c>
      <c r="HZ15" s="62">
        <f t="shared" si="45"/>
        <v>0</v>
      </c>
      <c r="IA15" s="62">
        <f t="shared" si="45"/>
        <v>19922</v>
      </c>
      <c r="IB15" s="62">
        <f t="shared" si="45"/>
        <v>19922</v>
      </c>
      <c r="IC15" s="62">
        <f t="shared" si="45"/>
        <v>0</v>
      </c>
      <c r="ID15" s="62">
        <f t="shared" si="45"/>
        <v>0</v>
      </c>
      <c r="IE15" s="599"/>
      <c r="IF15" s="600"/>
      <c r="IG15" s="600"/>
      <c r="IH15" s="600"/>
      <c r="II15" s="601"/>
      <c r="IJ15" s="601"/>
      <c r="IK15" s="601"/>
      <c r="IL15" s="601"/>
      <c r="IM15" s="601"/>
      <c r="IN15" s="601"/>
      <c r="IO15" s="601"/>
    </row>
    <row r="16" spans="1:249" s="598" customFormat="1" ht="63" customHeight="1" x14ac:dyDescent="0.25">
      <c r="B16" s="738" t="s">
        <v>517</v>
      </c>
      <c r="C16" s="739"/>
      <c r="D16" s="57"/>
      <c r="E16" s="58"/>
      <c r="F16" s="58"/>
      <c r="G16" s="58"/>
      <c r="H16" s="58"/>
      <c r="I16" s="58"/>
      <c r="J16" s="58"/>
      <c r="K16" s="58"/>
      <c r="L16" s="58"/>
      <c r="M16" s="58"/>
      <c r="N16" s="58"/>
      <c r="O16" s="58"/>
      <c r="P16" s="58"/>
      <c r="Q16" s="57"/>
      <c r="R16" s="58"/>
      <c r="S16" s="58"/>
      <c r="T16" s="57"/>
      <c r="U16" s="57"/>
      <c r="V16" s="57"/>
      <c r="W16" s="57"/>
      <c r="X16" s="57"/>
      <c r="Y16" s="57"/>
      <c r="Z16" s="59"/>
      <c r="AA16" s="59"/>
      <c r="AB16" s="59"/>
      <c r="AC16" s="59"/>
      <c r="AD16" s="59"/>
      <c r="AE16" s="59"/>
      <c r="AF16" s="59"/>
      <c r="AG16" s="59"/>
      <c r="AH16" s="59"/>
      <c r="AI16" s="59"/>
      <c r="AJ16" s="59"/>
      <c r="AK16" s="59"/>
      <c r="AL16" s="59"/>
      <c r="AM16" s="59"/>
      <c r="AN16" s="59"/>
      <c r="AO16" s="60"/>
      <c r="AP16" s="59"/>
      <c r="AQ16" s="59"/>
      <c r="AR16" s="59"/>
      <c r="AS16" s="59"/>
      <c r="AT16" s="59"/>
      <c r="AU16" s="59"/>
      <c r="AV16" s="59"/>
      <c r="AW16" s="59"/>
      <c r="AX16" s="59"/>
      <c r="AY16" s="59"/>
      <c r="AZ16" s="59"/>
      <c r="BA16" s="59"/>
      <c r="BB16" s="59"/>
      <c r="BC16" s="59"/>
      <c r="BD16" s="59"/>
      <c r="BE16" s="59"/>
      <c r="BF16" s="59"/>
      <c r="BG16" s="59"/>
      <c r="BH16" s="59"/>
      <c r="BI16" s="59"/>
      <c r="BJ16" s="59"/>
      <c r="BK16" s="61"/>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62">
        <f>CX16+CY16</f>
        <v>248442.4</v>
      </c>
      <c r="CX16" s="62">
        <f>CX391</f>
        <v>248442.4</v>
      </c>
      <c r="CY16" s="62">
        <v>0</v>
      </c>
      <c r="CZ16" s="62"/>
      <c r="DA16" s="62"/>
      <c r="DB16" s="62"/>
      <c r="DC16" s="62"/>
      <c r="DD16" s="62"/>
      <c r="DE16" s="62"/>
      <c r="DF16" s="62">
        <f>DG16+DH16</f>
        <v>-248442.4</v>
      </c>
      <c r="DG16" s="62">
        <f>DJ16-CX16</f>
        <v>-248442.4</v>
      </c>
      <c r="DH16" s="62">
        <v>0</v>
      </c>
      <c r="DI16" s="62">
        <f>DJ16+DK16</f>
        <v>0</v>
      </c>
      <c r="DJ16" s="62">
        <f>DJ391</f>
        <v>0</v>
      </c>
      <c r="DK16" s="62">
        <v>0</v>
      </c>
      <c r="DL16" s="62"/>
      <c r="DM16" s="62"/>
      <c r="DN16" s="62"/>
      <c r="DO16" s="62"/>
      <c r="DP16" s="62"/>
      <c r="DQ16" s="62"/>
      <c r="DR16" s="62"/>
      <c r="DS16" s="62"/>
      <c r="DT16" s="62"/>
      <c r="DU16" s="62">
        <v>0</v>
      </c>
      <c r="DV16" s="62"/>
      <c r="DW16" s="62"/>
      <c r="DX16" s="62"/>
      <c r="DY16" s="62"/>
      <c r="DZ16" s="62"/>
      <c r="EA16" s="62"/>
      <c r="EB16" s="62"/>
      <c r="EC16" s="62"/>
      <c r="ED16" s="62">
        <v>0</v>
      </c>
      <c r="EE16" s="62"/>
      <c r="EF16" s="62"/>
      <c r="EG16" s="62">
        <f>EH16+EI16+EJ16</f>
        <v>0</v>
      </c>
      <c r="EH16" s="62">
        <f>EH391</f>
        <v>0</v>
      </c>
      <c r="EI16" s="62"/>
      <c r="EJ16" s="62"/>
      <c r="EK16" s="62">
        <f>EL16+EM16+EN16</f>
        <v>0</v>
      </c>
      <c r="EL16" s="62">
        <f>EL391</f>
        <v>0</v>
      </c>
      <c r="EM16" s="62"/>
      <c r="EN16" s="62"/>
      <c r="EO16" s="62">
        <f>EP16+EQ16+ER16</f>
        <v>0</v>
      </c>
      <c r="EP16" s="62">
        <f>EP391</f>
        <v>0</v>
      </c>
      <c r="EQ16" s="62"/>
      <c r="ER16" s="62"/>
      <c r="ES16" s="84">
        <f>ET16+EU16+EV16</f>
        <v>0</v>
      </c>
      <c r="ET16" s="62">
        <f>ET391</f>
        <v>0</v>
      </c>
      <c r="EU16" s="62"/>
      <c r="EV16" s="62"/>
      <c r="EW16" s="62">
        <v>0</v>
      </c>
      <c r="EX16" s="62"/>
      <c r="EY16" s="62"/>
      <c r="EZ16" s="62">
        <v>0</v>
      </c>
      <c r="FA16" s="62"/>
      <c r="FB16" s="62"/>
      <c r="FC16" s="84">
        <f>FD16+FE16+FF16</f>
        <v>6500</v>
      </c>
      <c r="FD16" s="84">
        <f>FD385</f>
        <v>0</v>
      </c>
      <c r="FE16" s="84">
        <f>FE385</f>
        <v>0</v>
      </c>
      <c r="FF16" s="84">
        <f>FF385</f>
        <v>6500</v>
      </c>
      <c r="FG16" s="84">
        <f>FH16+FI16+FJ16</f>
        <v>0</v>
      </c>
      <c r="FH16" s="84">
        <f>FH391</f>
        <v>0</v>
      </c>
      <c r="FI16" s="84"/>
      <c r="FJ16" s="84"/>
      <c r="FK16" s="84">
        <f>FL16+FM16+FN16</f>
        <v>0</v>
      </c>
      <c r="FL16" s="84">
        <f>FL391</f>
        <v>0</v>
      </c>
      <c r="FM16" s="84"/>
      <c r="FN16" s="84"/>
      <c r="FO16" s="84">
        <f>FP16+FQ16+FR16</f>
        <v>6500</v>
      </c>
      <c r="FP16" s="84">
        <f>FP385</f>
        <v>0</v>
      </c>
      <c r="FQ16" s="84">
        <f>FQ385</f>
        <v>0</v>
      </c>
      <c r="FR16" s="84">
        <f>FR385</f>
        <v>6500</v>
      </c>
      <c r="FS16" s="84">
        <f t="shared" si="6"/>
        <v>4225</v>
      </c>
      <c r="FT16" s="486">
        <f t="shared" si="7"/>
        <v>0.65</v>
      </c>
      <c r="FU16" s="84">
        <f>FU385</f>
        <v>0</v>
      </c>
      <c r="FV16" s="486">
        <v>0</v>
      </c>
      <c r="FW16" s="84">
        <f>FW385</f>
        <v>0</v>
      </c>
      <c r="FX16" s="486">
        <v>0</v>
      </c>
      <c r="FY16" s="84">
        <f>FY385</f>
        <v>4225</v>
      </c>
      <c r="FZ16" s="486">
        <f t="shared" si="9"/>
        <v>0.65</v>
      </c>
      <c r="GA16" s="84">
        <f t="shared" si="10"/>
        <v>6500</v>
      </c>
      <c r="GB16" s="486">
        <f t="shared" si="11"/>
        <v>1</v>
      </c>
      <c r="GC16" s="84">
        <f>GC385</f>
        <v>0</v>
      </c>
      <c r="GD16" s="486">
        <v>0</v>
      </c>
      <c r="GE16" s="84">
        <f>GE385</f>
        <v>0</v>
      </c>
      <c r="GF16" s="486">
        <v>0</v>
      </c>
      <c r="GG16" s="84">
        <f>GG385</f>
        <v>6500</v>
      </c>
      <c r="GH16" s="486">
        <f t="shared" si="13"/>
        <v>1</v>
      </c>
      <c r="GI16" s="84">
        <f t="shared" si="14"/>
        <v>6500</v>
      </c>
      <c r="GJ16" s="486">
        <f t="shared" si="15"/>
        <v>1</v>
      </c>
      <c r="GK16" s="84">
        <f>GK385</f>
        <v>0</v>
      </c>
      <c r="GL16" s="486">
        <v>0</v>
      </c>
      <c r="GM16" s="84">
        <f>GM385</f>
        <v>0</v>
      </c>
      <c r="GN16" s="486">
        <v>0</v>
      </c>
      <c r="GO16" s="84">
        <f>GO385</f>
        <v>6500</v>
      </c>
      <c r="GP16" s="486">
        <f t="shared" si="17"/>
        <v>1</v>
      </c>
      <c r="GQ16" s="62"/>
      <c r="GR16" s="62"/>
      <c r="GS16" s="62"/>
      <c r="GT16" s="62"/>
      <c r="GU16" s="62">
        <f>GV16+GW16+GX16</f>
        <v>0</v>
      </c>
      <c r="GV16" s="62">
        <f>GV391</f>
        <v>0</v>
      </c>
      <c r="GW16" s="62"/>
      <c r="GX16" s="62"/>
      <c r="GY16" s="62"/>
      <c r="GZ16" s="62"/>
      <c r="HA16" s="62"/>
      <c r="HB16" s="62"/>
      <c r="HC16" s="62"/>
      <c r="HD16" s="62"/>
      <c r="HE16" s="62"/>
      <c r="HF16" s="62"/>
      <c r="HG16" s="62">
        <f>HH16+HI16+HJ16</f>
        <v>0</v>
      </c>
      <c r="HH16" s="62">
        <f>HH391</f>
        <v>0</v>
      </c>
      <c r="HI16" s="62"/>
      <c r="HJ16" s="62"/>
      <c r="HK16" s="62">
        <f>HL16+HM16+HN16</f>
        <v>0</v>
      </c>
      <c r="HL16" s="62">
        <f>HL391</f>
        <v>0</v>
      </c>
      <c r="HM16" s="62"/>
      <c r="HN16" s="62"/>
      <c r="HO16" s="62">
        <f>HP16+HQ16+HR16</f>
        <v>0</v>
      </c>
      <c r="HP16" s="62">
        <f>HP391</f>
        <v>0</v>
      </c>
      <c r="HQ16" s="62"/>
      <c r="HR16" s="62"/>
      <c r="HS16" s="62">
        <f>HT16+HU16+HV16</f>
        <v>0</v>
      </c>
      <c r="HT16" s="62">
        <f>HT391</f>
        <v>0</v>
      </c>
      <c r="HU16" s="62"/>
      <c r="HV16" s="62"/>
      <c r="HW16" s="62">
        <f>HX16+HY16+HZ16</f>
        <v>0</v>
      </c>
      <c r="HX16" s="62">
        <f>HX391</f>
        <v>0</v>
      </c>
      <c r="HY16" s="62"/>
      <c r="HZ16" s="62"/>
      <c r="IA16" s="62">
        <f>IB16+IC16+ID16</f>
        <v>0</v>
      </c>
      <c r="IB16" s="62">
        <f>IB391</f>
        <v>0</v>
      </c>
      <c r="IC16" s="62"/>
      <c r="ID16" s="62"/>
      <c r="IE16" s="599"/>
      <c r="IF16" s="600"/>
      <c r="IG16" s="600"/>
      <c r="IH16" s="600"/>
      <c r="II16" s="601"/>
      <c r="IJ16" s="601"/>
      <c r="IK16" s="601"/>
      <c r="IL16" s="601"/>
      <c r="IM16" s="601"/>
      <c r="IN16" s="601"/>
      <c r="IO16" s="601"/>
    </row>
    <row r="17" spans="2:249" s="605" customFormat="1" ht="86.25" customHeight="1" x14ac:dyDescent="0.25">
      <c r="B17" s="736" t="s">
        <v>123</v>
      </c>
      <c r="C17" s="737"/>
      <c r="D17" s="77"/>
      <c r="E17" s="78"/>
      <c r="F17" s="78"/>
      <c r="G17" s="78"/>
      <c r="H17" s="78"/>
      <c r="I17" s="78"/>
      <c r="J17" s="78"/>
      <c r="K17" s="78"/>
      <c r="L17" s="78"/>
      <c r="M17" s="78"/>
      <c r="N17" s="78"/>
      <c r="O17" s="78"/>
      <c r="P17" s="78"/>
      <c r="Q17" s="77"/>
      <c r="R17" s="78"/>
      <c r="S17" s="78"/>
      <c r="T17" s="77"/>
      <c r="U17" s="77"/>
      <c r="V17" s="77"/>
      <c r="W17" s="77"/>
      <c r="X17" s="77"/>
      <c r="Y17" s="77"/>
      <c r="Z17" s="79"/>
      <c r="AA17" s="79"/>
      <c r="AB17" s="79"/>
      <c r="AC17" s="79"/>
      <c r="AD17" s="79"/>
      <c r="AE17" s="79"/>
      <c r="AF17" s="79"/>
      <c r="AG17" s="79"/>
      <c r="AH17" s="79"/>
      <c r="AI17" s="79"/>
      <c r="AJ17" s="79"/>
      <c r="AK17" s="79"/>
      <c r="AL17" s="79"/>
      <c r="AM17" s="79"/>
      <c r="AN17" s="79"/>
      <c r="AO17" s="80"/>
      <c r="AP17" s="79"/>
      <c r="AQ17" s="79"/>
      <c r="AR17" s="79"/>
      <c r="AS17" s="79"/>
      <c r="AT17" s="79"/>
      <c r="AU17" s="79"/>
      <c r="AV17" s="79"/>
      <c r="AW17" s="79"/>
      <c r="AX17" s="79"/>
      <c r="AY17" s="79"/>
      <c r="AZ17" s="79"/>
      <c r="BA17" s="79"/>
      <c r="BB17" s="79"/>
      <c r="BC17" s="79"/>
      <c r="BD17" s="79"/>
      <c r="BE17" s="79"/>
      <c r="BF17" s="79"/>
      <c r="BG17" s="79"/>
      <c r="BH17" s="79"/>
      <c r="BI17" s="79"/>
      <c r="BJ17" s="79"/>
      <c r="BK17" s="81"/>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82" t="e">
        <f>CX17</f>
        <v>#REF!</v>
      </c>
      <c r="CX17" s="82" t="e">
        <f>CX189+CX244+CX348</f>
        <v>#REF!</v>
      </c>
      <c r="CY17" s="82"/>
      <c r="CZ17" s="82"/>
      <c r="DA17" s="82"/>
      <c r="DB17" s="82"/>
      <c r="DC17" s="82"/>
      <c r="DD17" s="82"/>
      <c r="DE17" s="82"/>
      <c r="DF17" s="82" t="e">
        <f>DG17</f>
        <v>#REF!</v>
      </c>
      <c r="DG17" s="82" t="e">
        <f>DG189+DG244+DG348</f>
        <v>#REF!</v>
      </c>
      <c r="DH17" s="82"/>
      <c r="DI17" s="82" t="e">
        <f>DJ17</f>
        <v>#REF!</v>
      </c>
      <c r="DJ17" s="82" t="e">
        <f>DJ189+DJ244+DJ348</f>
        <v>#REF!</v>
      </c>
      <c r="DK17" s="82"/>
      <c r="DL17" s="82"/>
      <c r="DM17" s="82"/>
      <c r="DN17" s="82"/>
      <c r="DO17" s="82"/>
      <c r="DP17" s="82"/>
      <c r="DQ17" s="82"/>
      <c r="DR17" s="82"/>
      <c r="DS17" s="82"/>
      <c r="DT17" s="82"/>
      <c r="DU17" s="82">
        <f>DV17</f>
        <v>0</v>
      </c>
      <c r="DV17" s="82">
        <f>DV189+DV244+DV348</f>
        <v>0</v>
      </c>
      <c r="DW17" s="82"/>
      <c r="DX17" s="82"/>
      <c r="DY17" s="82"/>
      <c r="DZ17" s="82"/>
      <c r="EA17" s="82"/>
      <c r="EB17" s="82"/>
      <c r="EC17" s="82"/>
      <c r="ED17" s="82" t="e">
        <f>EE17</f>
        <v>#REF!</v>
      </c>
      <c r="EE17" s="82" t="e">
        <f>EE189+EE244+EE348</f>
        <v>#REF!</v>
      </c>
      <c r="EF17" s="82"/>
      <c r="EG17" s="82" t="e">
        <f>EH17+EI17+EJ17</f>
        <v>#REF!</v>
      </c>
      <c r="EH17" s="82" t="e">
        <f>EH189+EH244+EH348</f>
        <v>#REF!</v>
      </c>
      <c r="EI17" s="82">
        <f>EI189+EI244+EI348</f>
        <v>0</v>
      </c>
      <c r="EJ17" s="82">
        <f>EJ189+EJ244+EJ348</f>
        <v>0</v>
      </c>
      <c r="EK17" s="82" t="e">
        <f>EL17+EM17+EN17</f>
        <v>#REF!</v>
      </c>
      <c r="EL17" s="83" t="e">
        <f>EL189+EL244+EL348</f>
        <v>#REF!</v>
      </c>
      <c r="EM17" s="82" t="e">
        <f>EM189+EM244+EM348</f>
        <v>#REF!</v>
      </c>
      <c r="EN17" s="82" t="e">
        <f>EN189+EN244+EN348</f>
        <v>#REF!</v>
      </c>
      <c r="EO17" s="82" t="e">
        <f>EP17+EQ17+ER17</f>
        <v>#REF!</v>
      </c>
      <c r="EP17" s="82" t="e">
        <f>EP189+EP244+EP348</f>
        <v>#REF!</v>
      </c>
      <c r="EQ17" s="82" t="e">
        <f>EQ189+EQ244+EQ348</f>
        <v>#REF!</v>
      </c>
      <c r="ER17" s="82" t="e">
        <f>ER189+ER244+ER348</f>
        <v>#REF!</v>
      </c>
      <c r="ES17" s="82" t="e">
        <f>ET17+EU17+EV17</f>
        <v>#REF!</v>
      </c>
      <c r="ET17" s="82" t="e">
        <f>ET189+ET244+ET348</f>
        <v>#REF!</v>
      </c>
      <c r="EU17" s="82">
        <f>EU189+EU244+EU348</f>
        <v>0</v>
      </c>
      <c r="EV17" s="82">
        <f>EV189+EV244+EV348</f>
        <v>0</v>
      </c>
      <c r="EW17" s="82">
        <f>EX17</f>
        <v>0</v>
      </c>
      <c r="EX17" s="82">
        <f>EX189+EX244+EX348</f>
        <v>0</v>
      </c>
      <c r="EY17" s="82"/>
      <c r="EZ17" s="82" t="e">
        <f>FA17</f>
        <v>#REF!</v>
      </c>
      <c r="FA17" s="82" t="e">
        <f>FA189+FA244+FA348</f>
        <v>#REF!</v>
      </c>
      <c r="FB17" s="82"/>
      <c r="FC17" s="83">
        <f>FD17+FE17+FF17</f>
        <v>2522947.7494600001</v>
      </c>
      <c r="FD17" s="83">
        <f>FD18+FD19</f>
        <v>2469635.8074600003</v>
      </c>
      <c r="FE17" s="83">
        <f>FE189+FE244+FE348</f>
        <v>0</v>
      </c>
      <c r="FF17" s="83">
        <f>FF18+FF19</f>
        <v>53311.942000000003</v>
      </c>
      <c r="FG17" s="83" t="e">
        <f>FH17+FI17+FJ17</f>
        <v>#REF!</v>
      </c>
      <c r="FH17" s="83" t="e">
        <f>FH18+FH19</f>
        <v>#REF!</v>
      </c>
      <c r="FI17" s="83">
        <f>FI18+FI19</f>
        <v>0</v>
      </c>
      <c r="FJ17" s="83">
        <f>FJ18+FJ19</f>
        <v>53311.942000000003</v>
      </c>
      <c r="FK17" s="83" t="e">
        <f>FL17+FM17+FN17</f>
        <v>#REF!</v>
      </c>
      <c r="FL17" s="83" t="e">
        <f>FL189+FL244+FL348</f>
        <v>#REF!</v>
      </c>
      <c r="FM17" s="83" t="e">
        <f>FM189+FM244+FM348</f>
        <v>#REF!</v>
      </c>
      <c r="FN17" s="83" t="e">
        <f>FN189+FN244+FN348</f>
        <v>#REF!</v>
      </c>
      <c r="FO17" s="83">
        <f>FP17+FQ17+FR17</f>
        <v>2170035.4449</v>
      </c>
      <c r="FP17" s="83">
        <f>FP18+FP19</f>
        <v>2116723.5029000002</v>
      </c>
      <c r="FQ17" s="83">
        <f>FQ18+FQ19</f>
        <v>0</v>
      </c>
      <c r="FR17" s="83">
        <f>FR18+FR19</f>
        <v>53311.942000000003</v>
      </c>
      <c r="FS17" s="83">
        <f t="shared" si="6"/>
        <v>1837908.2170999998</v>
      </c>
      <c r="FT17" s="488">
        <f t="shared" si="7"/>
        <v>0.72847652809828389</v>
      </c>
      <c r="FU17" s="83">
        <f>FU18+FU19</f>
        <v>1837908.2170999998</v>
      </c>
      <c r="FV17" s="488">
        <f t="shared" si="8"/>
        <v>0.7442021254908322</v>
      </c>
      <c r="FW17" s="83">
        <f>FW189+FW244+FW348</f>
        <v>0</v>
      </c>
      <c r="FX17" s="488">
        <v>0</v>
      </c>
      <c r="FY17" s="83">
        <f>FY189+FY244+FY348</f>
        <v>0</v>
      </c>
      <c r="FZ17" s="488">
        <f t="shared" si="9"/>
        <v>0</v>
      </c>
      <c r="GA17" s="83">
        <f t="shared" si="10"/>
        <v>1965678.9874999998</v>
      </c>
      <c r="GB17" s="488">
        <f t="shared" si="11"/>
        <v>0.77911997500571484</v>
      </c>
      <c r="GC17" s="83">
        <f>GC18+GC19</f>
        <v>1965678.9874999998</v>
      </c>
      <c r="GD17" s="488">
        <f t="shared" si="12"/>
        <v>0.79593881071949801</v>
      </c>
      <c r="GE17" s="83">
        <f>GE189+GE244+GE348</f>
        <v>0</v>
      </c>
      <c r="GF17" s="488">
        <v>0</v>
      </c>
      <c r="GG17" s="83">
        <f>GG189+GG244+GG348</f>
        <v>0</v>
      </c>
      <c r="GH17" s="488">
        <f t="shared" si="13"/>
        <v>0</v>
      </c>
      <c r="GI17" s="83">
        <f t="shared" si="14"/>
        <v>2488608.6175999995</v>
      </c>
      <c r="GJ17" s="488">
        <f t="shared" si="15"/>
        <v>0.98638928140015969</v>
      </c>
      <c r="GK17" s="83">
        <f>GK18+GK19</f>
        <v>2438015.1385999997</v>
      </c>
      <c r="GL17" s="488">
        <f t="shared" si="16"/>
        <v>0.98719622190264478</v>
      </c>
      <c r="GM17" s="83">
        <f>GM189+GM244+GM348</f>
        <v>0</v>
      </c>
      <c r="GN17" s="488">
        <v>0</v>
      </c>
      <c r="GO17" s="83">
        <f>GO18+GO19</f>
        <v>50593.478999999999</v>
      </c>
      <c r="GP17" s="488">
        <f t="shared" si="17"/>
        <v>0.94900836664325594</v>
      </c>
      <c r="GQ17" s="82"/>
      <c r="GR17" s="82"/>
      <c r="GS17" s="82"/>
      <c r="GT17" s="82"/>
      <c r="GU17" s="82">
        <f>GV17+GW17+GX17</f>
        <v>1929669.6653700001</v>
      </c>
      <c r="GV17" s="82">
        <f>GV18+GV19</f>
        <v>1929669.6653700001</v>
      </c>
      <c r="GW17" s="82">
        <f>GW189+GW244+GW348</f>
        <v>0</v>
      </c>
      <c r="GX17" s="82">
        <f>GX189+GX244+GX348</f>
        <v>0</v>
      </c>
      <c r="GY17" s="82"/>
      <c r="GZ17" s="82"/>
      <c r="HA17" s="82"/>
      <c r="HB17" s="82"/>
      <c r="HC17" s="82"/>
      <c r="HD17" s="82"/>
      <c r="HE17" s="82"/>
      <c r="HF17" s="82"/>
      <c r="HG17" s="82">
        <f>HH17+HI17+HJ17</f>
        <v>141697.15833999999</v>
      </c>
      <c r="HH17" s="82">
        <f>HH18+HH19</f>
        <v>141697.15833999999</v>
      </c>
      <c r="HI17" s="82">
        <f>HI189+HI244+HI348</f>
        <v>0</v>
      </c>
      <c r="HJ17" s="82">
        <f>HJ189+HJ244+HJ348</f>
        <v>0</v>
      </c>
      <c r="HK17" s="82" t="e">
        <f>HL17+HM17+HN17</f>
        <v>#REF!</v>
      </c>
      <c r="HL17" s="82" t="e">
        <f>HL189+HL244+HL348</f>
        <v>#REF!</v>
      </c>
      <c r="HM17" s="82">
        <f>HM189+HM244+HM348</f>
        <v>0</v>
      </c>
      <c r="HN17" s="82">
        <f>HN189+HN244+HN348</f>
        <v>0</v>
      </c>
      <c r="HO17" s="82">
        <f>HP17+HQ17+HR17</f>
        <v>2071366.8237099999</v>
      </c>
      <c r="HP17" s="82">
        <f>HP18+HP19</f>
        <v>2071366.8237099999</v>
      </c>
      <c r="HQ17" s="82">
        <f>HQ189+HQ244+HQ348</f>
        <v>0</v>
      </c>
      <c r="HR17" s="82">
        <f>HR189+HR244+HR348</f>
        <v>0</v>
      </c>
      <c r="HS17" s="82">
        <f>HT17+HU17+HV17</f>
        <v>1741862</v>
      </c>
      <c r="HT17" s="82">
        <f>HT18+HT19</f>
        <v>1741862</v>
      </c>
      <c r="HU17" s="82">
        <f>HU189+HU244+HU348</f>
        <v>0</v>
      </c>
      <c r="HV17" s="82">
        <f>HV189+HV244+HV348</f>
        <v>0</v>
      </c>
      <c r="HW17" s="82">
        <f>HX17+HY17+HZ17</f>
        <v>132291.77691000002</v>
      </c>
      <c r="HX17" s="82">
        <f>HX18+HX19</f>
        <v>132291.77691000002</v>
      </c>
      <c r="HY17" s="82">
        <f>HY189+HY244+HY348</f>
        <v>0</v>
      </c>
      <c r="HZ17" s="82">
        <f>HZ189+HZ244+HZ348</f>
        <v>0</v>
      </c>
      <c r="IA17" s="82">
        <f>IB17+IC17+ID17</f>
        <v>1874153.77691</v>
      </c>
      <c r="IB17" s="82">
        <f>IB18+IB19</f>
        <v>1874153.77691</v>
      </c>
      <c r="IC17" s="82">
        <f>IC189+IC244+IC348</f>
        <v>0</v>
      </c>
      <c r="ID17" s="82">
        <f>ID189+ID244+ID348</f>
        <v>0</v>
      </c>
      <c r="IE17" s="602"/>
      <c r="IF17" s="603"/>
      <c r="IG17" s="603"/>
      <c r="IH17" s="603"/>
      <c r="II17" s="604"/>
      <c r="IJ17" s="604"/>
      <c r="IK17" s="604"/>
      <c r="IL17" s="604"/>
      <c r="IM17" s="604"/>
      <c r="IN17" s="604"/>
      <c r="IO17" s="604"/>
    </row>
    <row r="18" spans="2:249" s="614" customFormat="1" ht="35.25" customHeight="1" x14ac:dyDescent="0.25">
      <c r="B18" s="718" t="s">
        <v>120</v>
      </c>
      <c r="C18" s="719"/>
      <c r="D18" s="606"/>
      <c r="E18" s="607"/>
      <c r="F18" s="607"/>
      <c r="G18" s="607"/>
      <c r="H18" s="607"/>
      <c r="I18" s="607"/>
      <c r="J18" s="607"/>
      <c r="K18" s="607"/>
      <c r="L18" s="607"/>
      <c r="M18" s="607"/>
      <c r="N18" s="607"/>
      <c r="O18" s="607"/>
      <c r="P18" s="607"/>
      <c r="Q18" s="606"/>
      <c r="R18" s="607"/>
      <c r="S18" s="607"/>
      <c r="T18" s="606"/>
      <c r="U18" s="606"/>
      <c r="V18" s="606"/>
      <c r="W18" s="606"/>
      <c r="X18" s="606"/>
      <c r="Y18" s="606"/>
      <c r="Z18" s="608"/>
      <c r="AA18" s="608"/>
      <c r="AB18" s="608"/>
      <c r="AC18" s="608"/>
      <c r="AD18" s="608"/>
      <c r="AE18" s="608"/>
      <c r="AF18" s="608"/>
      <c r="AG18" s="608"/>
      <c r="AH18" s="608"/>
      <c r="AI18" s="608"/>
      <c r="AJ18" s="608"/>
      <c r="AK18" s="608"/>
      <c r="AL18" s="608"/>
      <c r="AM18" s="608"/>
      <c r="AN18" s="608"/>
      <c r="AO18" s="609"/>
      <c r="AP18" s="608"/>
      <c r="AQ18" s="608"/>
      <c r="AR18" s="608"/>
      <c r="AS18" s="608"/>
      <c r="AT18" s="608"/>
      <c r="AU18" s="608"/>
      <c r="AV18" s="608"/>
      <c r="AW18" s="608"/>
      <c r="AX18" s="608"/>
      <c r="AY18" s="608"/>
      <c r="AZ18" s="608"/>
      <c r="BA18" s="608"/>
      <c r="BB18" s="608"/>
      <c r="BC18" s="608"/>
      <c r="BD18" s="608"/>
      <c r="BE18" s="608"/>
      <c r="BF18" s="608"/>
      <c r="BG18" s="608"/>
      <c r="BH18" s="608"/>
      <c r="BI18" s="608"/>
      <c r="BJ18" s="608"/>
      <c r="BK18" s="610"/>
      <c r="BL18" s="608"/>
      <c r="BM18" s="608"/>
      <c r="BN18" s="608"/>
      <c r="BO18" s="608"/>
      <c r="BP18" s="608"/>
      <c r="BQ18" s="608"/>
      <c r="BR18" s="608"/>
      <c r="BS18" s="608"/>
      <c r="BT18" s="608"/>
      <c r="BU18" s="608"/>
      <c r="BV18" s="608"/>
      <c r="BW18" s="608"/>
      <c r="BX18" s="608"/>
      <c r="BY18" s="608"/>
      <c r="BZ18" s="608"/>
      <c r="CA18" s="608"/>
      <c r="CB18" s="608"/>
      <c r="CC18" s="608"/>
      <c r="CD18" s="608"/>
      <c r="CE18" s="608"/>
      <c r="CF18" s="608"/>
      <c r="CG18" s="608"/>
      <c r="CH18" s="608"/>
      <c r="CI18" s="608"/>
      <c r="CJ18" s="608"/>
      <c r="CK18" s="608"/>
      <c r="CL18" s="608"/>
      <c r="CM18" s="608"/>
      <c r="CN18" s="608"/>
      <c r="CO18" s="608"/>
      <c r="CP18" s="608"/>
      <c r="CQ18" s="608"/>
      <c r="CR18" s="608"/>
      <c r="CS18" s="608"/>
      <c r="CT18" s="608"/>
      <c r="CU18" s="608"/>
      <c r="CV18" s="60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9">
        <f>FD18</f>
        <v>2022947.7494600001</v>
      </c>
      <c r="FD18" s="39">
        <f>FD245+FD348+FD189</f>
        <v>2022947.7494600001</v>
      </c>
      <c r="FE18" s="39">
        <f>FE189+FE231+FE249+FE348</f>
        <v>0</v>
      </c>
      <c r="FF18" s="39">
        <f>FF189+FF249+FF348</f>
        <v>0</v>
      </c>
      <c r="FG18" s="39" t="e">
        <f>FH18</f>
        <v>#REF!</v>
      </c>
      <c r="FH18" s="39" t="e">
        <f>FH189+FH231+FH249+FH348</f>
        <v>#REF!</v>
      </c>
      <c r="FI18" s="39">
        <v>0</v>
      </c>
      <c r="FJ18" s="39">
        <v>0</v>
      </c>
      <c r="FK18" s="39"/>
      <c r="FL18" s="39"/>
      <c r="FM18" s="39"/>
      <c r="FN18" s="39"/>
      <c r="FO18" s="39">
        <f>FP18</f>
        <v>1670035.4449</v>
      </c>
      <c r="FP18" s="39">
        <f>FP189+FP231+FP249+FP348</f>
        <v>1670035.4449</v>
      </c>
      <c r="FQ18" s="39"/>
      <c r="FR18" s="39"/>
      <c r="FS18" s="39">
        <f t="shared" si="6"/>
        <v>1391220.1590999998</v>
      </c>
      <c r="FT18" s="485">
        <f t="shared" si="7"/>
        <v>0.6877192747422014</v>
      </c>
      <c r="FU18" s="39">
        <f>FU189+FU249+FU348+FU231</f>
        <v>1391220.1590999998</v>
      </c>
      <c r="FV18" s="485">
        <f t="shared" si="8"/>
        <v>0.6877192747422014</v>
      </c>
      <c r="FW18" s="39"/>
      <c r="FX18" s="485">
        <v>0</v>
      </c>
      <c r="FY18" s="39">
        <f>FY189+FY249+FY348</f>
        <v>0</v>
      </c>
      <c r="FZ18" s="485">
        <v>0</v>
      </c>
      <c r="GA18" s="39">
        <f t="shared" si="10"/>
        <v>1518990.9294999999</v>
      </c>
      <c r="GB18" s="485">
        <f t="shared" si="11"/>
        <v>0.75087996212728425</v>
      </c>
      <c r="GC18" s="39">
        <f>GC245+GC348+GC189</f>
        <v>1518990.9294999999</v>
      </c>
      <c r="GD18" s="485">
        <f t="shared" si="12"/>
        <v>0.75087996212728425</v>
      </c>
      <c r="GE18" s="39"/>
      <c r="GF18" s="485">
        <v>0</v>
      </c>
      <c r="GG18" s="39"/>
      <c r="GH18" s="485">
        <v>0</v>
      </c>
      <c r="GI18" s="39">
        <f t="shared" si="14"/>
        <v>1991327.0805999998</v>
      </c>
      <c r="GJ18" s="485">
        <f t="shared" si="15"/>
        <v>0.9843690135504285</v>
      </c>
      <c r="GK18" s="39">
        <f>GK189+GK231+GK249+GK348</f>
        <v>1991327.0805999998</v>
      </c>
      <c r="GL18" s="485">
        <f t="shared" si="16"/>
        <v>0.9843690135504285</v>
      </c>
      <c r="GM18" s="39"/>
      <c r="GN18" s="485">
        <v>0</v>
      </c>
      <c r="GO18" s="39">
        <f>GO189+GO249+GO348</f>
        <v>0</v>
      </c>
      <c r="GP18" s="485">
        <v>0</v>
      </c>
      <c r="GQ18" s="38"/>
      <c r="GR18" s="38"/>
      <c r="GS18" s="38"/>
      <c r="GT18" s="38"/>
      <c r="GU18" s="38">
        <f>GV18</f>
        <v>1929669.6653700001</v>
      </c>
      <c r="GV18" s="38">
        <f>GV189+GV231+GV249+GV348</f>
        <v>1929669.6653700001</v>
      </c>
      <c r="GW18" s="38"/>
      <c r="GX18" s="38"/>
      <c r="GY18" s="38"/>
      <c r="GZ18" s="38"/>
      <c r="HA18" s="38"/>
      <c r="HB18" s="38"/>
      <c r="HC18" s="38"/>
      <c r="HD18" s="38"/>
      <c r="HE18" s="38"/>
      <c r="HF18" s="38"/>
      <c r="HG18" s="38">
        <f>HH18</f>
        <v>141697.15833999999</v>
      </c>
      <c r="HH18" s="38">
        <f>HH189+HH231+HH249+HH348</f>
        <v>141697.15833999999</v>
      </c>
      <c r="HI18" s="38"/>
      <c r="HJ18" s="38"/>
      <c r="HK18" s="38"/>
      <c r="HL18" s="38"/>
      <c r="HM18" s="38"/>
      <c r="HN18" s="38"/>
      <c r="HO18" s="38">
        <f>HP18</f>
        <v>2071366.8237099999</v>
      </c>
      <c r="HP18" s="38">
        <f>HP189+HP231+HP249+HP348</f>
        <v>2071366.8237099999</v>
      </c>
      <c r="HQ18" s="38"/>
      <c r="HR18" s="38"/>
      <c r="HS18" s="38">
        <f>HT18</f>
        <v>1741862</v>
      </c>
      <c r="HT18" s="38">
        <f>HT189+HT231+HT249+HT348</f>
        <v>1741862</v>
      </c>
      <c r="HU18" s="38"/>
      <c r="HV18" s="38"/>
      <c r="HW18" s="38">
        <f>HX18</f>
        <v>132291.77691000002</v>
      </c>
      <c r="HX18" s="38">
        <f>HX189+HX231+HX249+HX348</f>
        <v>132291.77691000002</v>
      </c>
      <c r="HY18" s="38"/>
      <c r="HZ18" s="38"/>
      <c r="IA18" s="38">
        <f>IB18</f>
        <v>1874153.77691</v>
      </c>
      <c r="IB18" s="38">
        <f>IB189+IB231+IB249+IB348</f>
        <v>1874153.77691</v>
      </c>
      <c r="IC18" s="38"/>
      <c r="ID18" s="38"/>
      <c r="IE18" s="611"/>
      <c r="IF18" s="612"/>
      <c r="IG18" s="612"/>
      <c r="IH18" s="612"/>
      <c r="II18" s="613"/>
      <c r="IJ18" s="613"/>
      <c r="IK18" s="613"/>
      <c r="IL18" s="613"/>
      <c r="IM18" s="613"/>
      <c r="IN18" s="613"/>
      <c r="IO18" s="613"/>
    </row>
    <row r="19" spans="2:249" s="523" customFormat="1" ht="35.25" customHeight="1" x14ac:dyDescent="0.25">
      <c r="B19" s="730" t="s">
        <v>124</v>
      </c>
      <c r="C19" s="731"/>
      <c r="D19" s="524"/>
      <c r="E19" s="525"/>
      <c r="F19" s="525"/>
      <c r="G19" s="525"/>
      <c r="H19" s="525"/>
      <c r="I19" s="525"/>
      <c r="J19" s="525"/>
      <c r="K19" s="525"/>
      <c r="L19" s="525"/>
      <c r="M19" s="525"/>
      <c r="N19" s="525"/>
      <c r="O19" s="525"/>
      <c r="P19" s="525"/>
      <c r="Q19" s="524"/>
      <c r="R19" s="525"/>
      <c r="S19" s="525"/>
      <c r="T19" s="524"/>
      <c r="U19" s="524"/>
      <c r="V19" s="524"/>
      <c r="W19" s="524"/>
      <c r="X19" s="524"/>
      <c r="Y19" s="524"/>
      <c r="Z19" s="526"/>
      <c r="AA19" s="526"/>
      <c r="AB19" s="526"/>
      <c r="AC19" s="526"/>
      <c r="AD19" s="526"/>
      <c r="AE19" s="526"/>
      <c r="AF19" s="526"/>
      <c r="AG19" s="526"/>
      <c r="AH19" s="526"/>
      <c r="AI19" s="526"/>
      <c r="AJ19" s="526"/>
      <c r="AK19" s="526"/>
      <c r="AL19" s="526"/>
      <c r="AM19" s="526"/>
      <c r="AN19" s="526"/>
      <c r="AO19" s="527"/>
      <c r="AP19" s="526"/>
      <c r="AQ19" s="526"/>
      <c r="AR19" s="526"/>
      <c r="AS19" s="526"/>
      <c r="AT19" s="526"/>
      <c r="AU19" s="526"/>
      <c r="AV19" s="526"/>
      <c r="AW19" s="526"/>
      <c r="AX19" s="526"/>
      <c r="AY19" s="526"/>
      <c r="AZ19" s="526"/>
      <c r="BA19" s="526"/>
      <c r="BB19" s="526"/>
      <c r="BC19" s="526"/>
      <c r="BD19" s="526"/>
      <c r="BE19" s="526"/>
      <c r="BF19" s="526"/>
      <c r="BG19" s="526"/>
      <c r="BH19" s="526"/>
      <c r="BI19" s="526"/>
      <c r="BJ19" s="526"/>
      <c r="BK19" s="528"/>
      <c r="BL19" s="526"/>
      <c r="BM19" s="526"/>
      <c r="BN19" s="526"/>
      <c r="BO19" s="526"/>
      <c r="BP19" s="526"/>
      <c r="BQ19" s="526"/>
      <c r="BR19" s="526"/>
      <c r="BS19" s="526"/>
      <c r="BT19" s="526"/>
      <c r="BU19" s="526"/>
      <c r="BV19" s="526"/>
      <c r="BW19" s="526"/>
      <c r="BX19" s="526"/>
      <c r="BY19" s="526"/>
      <c r="BZ19" s="526"/>
      <c r="CA19" s="526"/>
      <c r="CB19" s="526"/>
      <c r="CC19" s="526"/>
      <c r="CD19" s="526"/>
      <c r="CE19" s="526"/>
      <c r="CF19" s="526"/>
      <c r="CG19" s="526"/>
      <c r="CH19" s="526"/>
      <c r="CI19" s="526"/>
      <c r="CJ19" s="526"/>
      <c r="CK19" s="526"/>
      <c r="CL19" s="526"/>
      <c r="CM19" s="526"/>
      <c r="CN19" s="526"/>
      <c r="CO19" s="526"/>
      <c r="CP19" s="526"/>
      <c r="CQ19" s="526"/>
      <c r="CR19" s="526"/>
      <c r="CS19" s="526"/>
      <c r="CT19" s="526"/>
      <c r="CU19" s="526"/>
      <c r="CV19" s="526"/>
      <c r="CW19" s="529"/>
      <c r="CX19" s="529"/>
      <c r="CY19" s="529"/>
      <c r="CZ19" s="529"/>
      <c r="DA19" s="529"/>
      <c r="DB19" s="529"/>
      <c r="DC19" s="529"/>
      <c r="DD19" s="529"/>
      <c r="DE19" s="529"/>
      <c r="DF19" s="529"/>
      <c r="DG19" s="529"/>
      <c r="DH19" s="529"/>
      <c r="DI19" s="529"/>
      <c r="DJ19" s="529"/>
      <c r="DK19" s="529"/>
      <c r="DL19" s="529"/>
      <c r="DM19" s="529"/>
      <c r="DN19" s="529"/>
      <c r="DO19" s="529"/>
      <c r="DP19" s="529"/>
      <c r="DQ19" s="529"/>
      <c r="DR19" s="529"/>
      <c r="DS19" s="529"/>
      <c r="DT19" s="529"/>
      <c r="DU19" s="529"/>
      <c r="DV19" s="529"/>
      <c r="DW19" s="529"/>
      <c r="DX19" s="529"/>
      <c r="DY19" s="529"/>
      <c r="DZ19" s="529"/>
      <c r="EA19" s="529"/>
      <c r="EB19" s="529"/>
      <c r="EC19" s="529"/>
      <c r="ED19" s="529"/>
      <c r="EE19" s="529"/>
      <c r="EF19" s="529"/>
      <c r="EG19" s="529"/>
      <c r="EH19" s="529"/>
      <c r="EI19" s="529"/>
      <c r="EJ19" s="529"/>
      <c r="EK19" s="529"/>
      <c r="EL19" s="529"/>
      <c r="EM19" s="529"/>
      <c r="EN19" s="529"/>
      <c r="EO19" s="529"/>
      <c r="EP19" s="529"/>
      <c r="EQ19" s="529"/>
      <c r="ER19" s="529"/>
      <c r="ES19" s="530"/>
      <c r="ET19" s="529"/>
      <c r="EU19" s="529"/>
      <c r="EV19" s="529"/>
      <c r="EW19" s="529"/>
      <c r="EX19" s="529"/>
      <c r="EY19" s="529"/>
      <c r="EZ19" s="529"/>
      <c r="FA19" s="529"/>
      <c r="FB19" s="529"/>
      <c r="FC19" s="530">
        <f>FD19+FE19+FF19</f>
        <v>500000</v>
      </c>
      <c r="FD19" s="530">
        <f>FD248+FD254</f>
        <v>446688.05800000002</v>
      </c>
      <c r="FE19" s="530">
        <f>FE248+FE254</f>
        <v>0</v>
      </c>
      <c r="FF19" s="530">
        <f>FF248+FF254</f>
        <v>53311.942000000003</v>
      </c>
      <c r="FG19" s="530">
        <f>FH19+FI19+FJ19</f>
        <v>53311.942000000003</v>
      </c>
      <c r="FH19" s="530">
        <f>FH248+FH254</f>
        <v>0</v>
      </c>
      <c r="FI19" s="530">
        <f>FI248+FI254</f>
        <v>0</v>
      </c>
      <c r="FJ19" s="530">
        <f>FJ248+FJ254</f>
        <v>53311.942000000003</v>
      </c>
      <c r="FK19" s="530"/>
      <c r="FL19" s="530"/>
      <c r="FM19" s="530"/>
      <c r="FN19" s="530"/>
      <c r="FO19" s="530">
        <f>FP19+FQ19+FR19</f>
        <v>500000</v>
      </c>
      <c r="FP19" s="530">
        <f>FP248+FP254</f>
        <v>446688.05800000002</v>
      </c>
      <c r="FQ19" s="530">
        <f>FQ248+FQ254</f>
        <v>0</v>
      </c>
      <c r="FR19" s="530">
        <f>FR248+FR254</f>
        <v>53311.942000000003</v>
      </c>
      <c r="FS19" s="530">
        <f t="shared" si="6"/>
        <v>446688.05800000002</v>
      </c>
      <c r="FT19" s="531">
        <f t="shared" si="7"/>
        <v>0.893376116</v>
      </c>
      <c r="FU19" s="530">
        <f>FU248+FU254</f>
        <v>446688.05800000002</v>
      </c>
      <c r="FV19" s="531">
        <f t="shared" si="8"/>
        <v>1</v>
      </c>
      <c r="FW19" s="530"/>
      <c r="FX19" s="531">
        <v>0</v>
      </c>
      <c r="FY19" s="530">
        <f>FY248+FY254</f>
        <v>0</v>
      </c>
      <c r="FZ19" s="531">
        <f t="shared" si="9"/>
        <v>0</v>
      </c>
      <c r="GA19" s="530">
        <f t="shared" si="10"/>
        <v>446688.05800000002</v>
      </c>
      <c r="GB19" s="531">
        <f t="shared" si="11"/>
        <v>0.893376116</v>
      </c>
      <c r="GC19" s="530">
        <f>GC248+GC254</f>
        <v>446688.05800000002</v>
      </c>
      <c r="GD19" s="531">
        <f t="shared" si="12"/>
        <v>1</v>
      </c>
      <c r="GE19" s="530">
        <f>GE248+GE254</f>
        <v>0</v>
      </c>
      <c r="GF19" s="531">
        <v>0</v>
      </c>
      <c r="GG19" s="530">
        <f>GG248+GG254</f>
        <v>0</v>
      </c>
      <c r="GH19" s="531">
        <f t="shared" si="13"/>
        <v>0</v>
      </c>
      <c r="GI19" s="530">
        <f t="shared" si="14"/>
        <v>497281.53700000001</v>
      </c>
      <c r="GJ19" s="531">
        <f t="shared" si="15"/>
        <v>0.99456307399999999</v>
      </c>
      <c r="GK19" s="530">
        <f>GK248+GK254</f>
        <v>446688.05800000002</v>
      </c>
      <c r="GL19" s="531">
        <f t="shared" si="16"/>
        <v>1</v>
      </c>
      <c r="GM19" s="530"/>
      <c r="GN19" s="531">
        <v>0</v>
      </c>
      <c r="GO19" s="530">
        <f>GO248+GO254</f>
        <v>50593.478999999999</v>
      </c>
      <c r="GP19" s="531">
        <f t="shared" si="17"/>
        <v>0.94900836664325594</v>
      </c>
      <c r="GQ19" s="529"/>
      <c r="GR19" s="529"/>
      <c r="GS19" s="529"/>
      <c r="GT19" s="529"/>
      <c r="GU19" s="529">
        <f>GV19</f>
        <v>0</v>
      </c>
      <c r="GV19" s="529">
        <f>GV248+GV254</f>
        <v>0</v>
      </c>
      <c r="GW19" s="529"/>
      <c r="GX19" s="529"/>
      <c r="GY19" s="529"/>
      <c r="GZ19" s="529"/>
      <c r="HA19" s="529"/>
      <c r="HB19" s="529"/>
      <c r="HC19" s="529"/>
      <c r="HD19" s="529"/>
      <c r="HE19" s="529"/>
      <c r="HF19" s="529"/>
      <c r="HG19" s="529">
        <f>HH19</f>
        <v>0</v>
      </c>
      <c r="HH19" s="529">
        <f>HH248+HH254</f>
        <v>0</v>
      </c>
      <c r="HI19" s="529"/>
      <c r="HJ19" s="529"/>
      <c r="HK19" s="529"/>
      <c r="HL19" s="529"/>
      <c r="HM19" s="529"/>
      <c r="HN19" s="529"/>
      <c r="HO19" s="529">
        <f>HP19</f>
        <v>0</v>
      </c>
      <c r="HP19" s="529">
        <f>HP248+HP254</f>
        <v>0</v>
      </c>
      <c r="HQ19" s="529"/>
      <c r="HR19" s="529"/>
      <c r="HS19" s="529">
        <f>HT19</f>
        <v>0</v>
      </c>
      <c r="HT19" s="529">
        <f>HT248+HT254</f>
        <v>0</v>
      </c>
      <c r="HU19" s="529"/>
      <c r="HV19" s="529"/>
      <c r="HW19" s="529">
        <f>HX19</f>
        <v>0</v>
      </c>
      <c r="HX19" s="529">
        <f>HX248+HX254</f>
        <v>0</v>
      </c>
      <c r="HY19" s="529"/>
      <c r="HZ19" s="529"/>
      <c r="IA19" s="529">
        <f>IB19</f>
        <v>0</v>
      </c>
      <c r="IB19" s="529">
        <f>IB248+IB254</f>
        <v>0</v>
      </c>
      <c r="IC19" s="529"/>
      <c r="ID19" s="529"/>
      <c r="IE19" s="533"/>
      <c r="IF19" s="534"/>
      <c r="IG19" s="534"/>
      <c r="IH19" s="534"/>
      <c r="II19" s="535"/>
      <c r="IJ19" s="535"/>
      <c r="IK19" s="535"/>
      <c r="IL19" s="535"/>
      <c r="IM19" s="535"/>
      <c r="IN19" s="535"/>
      <c r="IO19" s="535"/>
    </row>
    <row r="20" spans="2:249" s="93" customFormat="1" ht="35.25" customHeight="1" x14ac:dyDescent="0.25">
      <c r="B20" s="732" t="s">
        <v>125</v>
      </c>
      <c r="C20" s="733"/>
      <c r="D20" s="85"/>
      <c r="E20" s="86"/>
      <c r="F20" s="86"/>
      <c r="G20" s="86"/>
      <c r="H20" s="86"/>
      <c r="I20" s="86"/>
      <c r="J20" s="86"/>
      <c r="K20" s="86"/>
      <c r="L20" s="86"/>
      <c r="M20" s="86"/>
      <c r="N20" s="86"/>
      <c r="O20" s="86"/>
      <c r="P20" s="86"/>
      <c r="Q20" s="85"/>
      <c r="R20" s="86"/>
      <c r="S20" s="86"/>
      <c r="T20" s="85"/>
      <c r="U20" s="85"/>
      <c r="V20" s="85"/>
      <c r="W20" s="85"/>
      <c r="X20" s="85"/>
      <c r="Y20" s="85"/>
      <c r="Z20" s="87"/>
      <c r="AA20" s="87"/>
      <c r="AB20" s="87"/>
      <c r="AC20" s="87"/>
      <c r="AD20" s="87"/>
      <c r="AE20" s="87"/>
      <c r="AF20" s="87"/>
      <c r="AG20" s="87"/>
      <c r="AH20" s="87"/>
      <c r="AI20" s="87"/>
      <c r="AJ20" s="87"/>
      <c r="AK20" s="87"/>
      <c r="AL20" s="87"/>
      <c r="AM20" s="87"/>
      <c r="AN20" s="87"/>
      <c r="AO20" s="88"/>
      <c r="AP20" s="87"/>
      <c r="AQ20" s="87"/>
      <c r="AR20" s="87"/>
      <c r="AS20" s="87"/>
      <c r="AT20" s="87"/>
      <c r="AU20" s="87"/>
      <c r="AV20" s="87"/>
      <c r="AW20" s="87"/>
      <c r="AX20" s="87"/>
      <c r="AY20" s="87"/>
      <c r="AZ20" s="87"/>
      <c r="BA20" s="87"/>
      <c r="BB20" s="87"/>
      <c r="BC20" s="87"/>
      <c r="BD20" s="87"/>
      <c r="BE20" s="87"/>
      <c r="BF20" s="87"/>
      <c r="BG20" s="87"/>
      <c r="BH20" s="87"/>
      <c r="BI20" s="87"/>
      <c r="BJ20" s="87"/>
      <c r="BK20" s="89"/>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90"/>
      <c r="ET20" s="87"/>
      <c r="EU20" s="87"/>
      <c r="EV20" s="87"/>
      <c r="EW20" s="87"/>
      <c r="EX20" s="87"/>
      <c r="EY20" s="87"/>
      <c r="EZ20" s="87"/>
      <c r="FA20" s="87"/>
      <c r="FB20" s="87"/>
      <c r="FC20" s="90">
        <f>FD20+FE20+FF20</f>
        <v>446688.05800000002</v>
      </c>
      <c r="FD20" s="90">
        <f>FD248</f>
        <v>446688.05800000002</v>
      </c>
      <c r="FE20" s="90"/>
      <c r="FF20" s="90">
        <v>0</v>
      </c>
      <c r="FG20" s="90">
        <f>FH20</f>
        <v>0</v>
      </c>
      <c r="FH20" s="90">
        <f>FH248</f>
        <v>0</v>
      </c>
      <c r="FI20" s="90">
        <f>FI248</f>
        <v>0</v>
      </c>
      <c r="FJ20" s="90">
        <f>FJ248</f>
        <v>0</v>
      </c>
      <c r="FK20" s="90"/>
      <c r="FL20" s="90"/>
      <c r="FM20" s="90"/>
      <c r="FN20" s="90"/>
      <c r="FO20" s="90">
        <f>FP20+FQ20+FR20</f>
        <v>446688.05800000002</v>
      </c>
      <c r="FP20" s="90">
        <f>FP248</f>
        <v>446688.05800000002</v>
      </c>
      <c r="FQ20" s="90"/>
      <c r="FR20" s="90"/>
      <c r="FS20" s="90">
        <f t="shared" si="6"/>
        <v>0</v>
      </c>
      <c r="FT20" s="518">
        <f t="shared" si="7"/>
        <v>0</v>
      </c>
      <c r="FU20" s="90">
        <v>0</v>
      </c>
      <c r="FV20" s="518">
        <f t="shared" si="8"/>
        <v>0</v>
      </c>
      <c r="FW20" s="90"/>
      <c r="FX20" s="518">
        <v>0</v>
      </c>
      <c r="FY20" s="90">
        <v>0</v>
      </c>
      <c r="FZ20" s="518">
        <v>0</v>
      </c>
      <c r="GA20" s="90">
        <f t="shared" si="10"/>
        <v>0</v>
      </c>
      <c r="GB20" s="518">
        <f t="shared" si="11"/>
        <v>0</v>
      </c>
      <c r="GC20" s="90">
        <v>0</v>
      </c>
      <c r="GD20" s="518">
        <f>GC20/FD20</f>
        <v>0</v>
      </c>
      <c r="GE20" s="90"/>
      <c r="GF20" s="518">
        <v>0</v>
      </c>
      <c r="GG20" s="90">
        <v>0</v>
      </c>
      <c r="GH20" s="518">
        <v>0</v>
      </c>
      <c r="GI20" s="90">
        <f t="shared" si="14"/>
        <v>0</v>
      </c>
      <c r="GJ20" s="518">
        <f t="shared" si="15"/>
        <v>0</v>
      </c>
      <c r="GK20" s="90">
        <v>0</v>
      </c>
      <c r="GL20" s="518">
        <f t="shared" si="16"/>
        <v>0</v>
      </c>
      <c r="GM20" s="90"/>
      <c r="GN20" s="485">
        <v>0</v>
      </c>
      <c r="GO20" s="90">
        <v>0</v>
      </c>
      <c r="GP20" s="518">
        <v>0</v>
      </c>
      <c r="GQ20" s="87"/>
      <c r="GR20" s="87"/>
      <c r="GS20" s="87"/>
      <c r="GT20" s="87"/>
      <c r="GU20" s="87">
        <f>GV20</f>
        <v>0</v>
      </c>
      <c r="GV20" s="87">
        <f>GV248</f>
        <v>0</v>
      </c>
      <c r="GW20" s="87"/>
      <c r="GX20" s="87"/>
      <c r="GY20" s="87"/>
      <c r="GZ20" s="87"/>
      <c r="HA20" s="87"/>
      <c r="HB20" s="87"/>
      <c r="HC20" s="87"/>
      <c r="HD20" s="87"/>
      <c r="HE20" s="87"/>
      <c r="HF20" s="87"/>
      <c r="HG20" s="87">
        <f>HH20</f>
        <v>0</v>
      </c>
      <c r="HH20" s="87">
        <f>HH248</f>
        <v>0</v>
      </c>
      <c r="HI20" s="87"/>
      <c r="HJ20" s="87"/>
      <c r="HK20" s="87"/>
      <c r="HL20" s="87"/>
      <c r="HM20" s="87"/>
      <c r="HN20" s="87"/>
      <c r="HO20" s="87">
        <f>HP20</f>
        <v>0</v>
      </c>
      <c r="HP20" s="87">
        <f>HP248</f>
        <v>0</v>
      </c>
      <c r="HQ20" s="87"/>
      <c r="HR20" s="87"/>
      <c r="HS20" s="87">
        <f>HT20</f>
        <v>0</v>
      </c>
      <c r="HT20" s="87">
        <f>HT248</f>
        <v>0</v>
      </c>
      <c r="HU20" s="87"/>
      <c r="HV20" s="87"/>
      <c r="HW20" s="87">
        <f>HX20</f>
        <v>0</v>
      </c>
      <c r="HX20" s="87">
        <f>HX248</f>
        <v>0</v>
      </c>
      <c r="HY20" s="87"/>
      <c r="HZ20" s="87"/>
      <c r="IA20" s="87">
        <f>IB20</f>
        <v>0</v>
      </c>
      <c r="IB20" s="87">
        <f>IB248</f>
        <v>0</v>
      </c>
      <c r="IC20" s="87"/>
      <c r="ID20" s="87"/>
      <c r="IE20" s="91"/>
      <c r="IF20" s="92"/>
      <c r="IG20" s="92"/>
      <c r="IH20" s="92"/>
    </row>
    <row r="21" spans="2:249" s="93" customFormat="1" ht="35.25" customHeight="1" x14ac:dyDescent="0.25">
      <c r="B21" s="732" t="s">
        <v>126</v>
      </c>
      <c r="C21" s="733"/>
      <c r="D21" s="85"/>
      <c r="E21" s="86"/>
      <c r="F21" s="86"/>
      <c r="G21" s="86"/>
      <c r="H21" s="86"/>
      <c r="I21" s="86"/>
      <c r="J21" s="86"/>
      <c r="K21" s="86"/>
      <c r="L21" s="86"/>
      <c r="M21" s="86"/>
      <c r="N21" s="86"/>
      <c r="O21" s="86"/>
      <c r="P21" s="86"/>
      <c r="Q21" s="85"/>
      <c r="R21" s="86"/>
      <c r="S21" s="86"/>
      <c r="T21" s="85"/>
      <c r="U21" s="85"/>
      <c r="V21" s="85"/>
      <c r="W21" s="85"/>
      <c r="X21" s="85"/>
      <c r="Y21" s="85"/>
      <c r="Z21" s="87"/>
      <c r="AA21" s="87"/>
      <c r="AB21" s="87"/>
      <c r="AC21" s="87"/>
      <c r="AD21" s="87"/>
      <c r="AE21" s="87"/>
      <c r="AF21" s="87"/>
      <c r="AG21" s="87"/>
      <c r="AH21" s="87"/>
      <c r="AI21" s="87"/>
      <c r="AJ21" s="87"/>
      <c r="AK21" s="87"/>
      <c r="AL21" s="87"/>
      <c r="AM21" s="87"/>
      <c r="AN21" s="87"/>
      <c r="AO21" s="88"/>
      <c r="AP21" s="87"/>
      <c r="AQ21" s="87"/>
      <c r="AR21" s="87"/>
      <c r="AS21" s="87"/>
      <c r="AT21" s="87"/>
      <c r="AU21" s="87"/>
      <c r="AV21" s="87"/>
      <c r="AW21" s="87"/>
      <c r="AX21" s="87"/>
      <c r="AY21" s="87"/>
      <c r="AZ21" s="87"/>
      <c r="BA21" s="87"/>
      <c r="BB21" s="87"/>
      <c r="BC21" s="87"/>
      <c r="BD21" s="87"/>
      <c r="BE21" s="87"/>
      <c r="BF21" s="87"/>
      <c r="BG21" s="87"/>
      <c r="BH21" s="87"/>
      <c r="BI21" s="87"/>
      <c r="BJ21" s="87"/>
      <c r="BK21" s="89"/>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90"/>
      <c r="ET21" s="87"/>
      <c r="EU21" s="87"/>
      <c r="EV21" s="87"/>
      <c r="EW21" s="87"/>
      <c r="EX21" s="87"/>
      <c r="EY21" s="87"/>
      <c r="EZ21" s="87"/>
      <c r="FA21" s="87"/>
      <c r="FB21" s="87"/>
      <c r="FC21" s="90">
        <f>FD21+FE21+FF21</f>
        <v>53311.942000000003</v>
      </c>
      <c r="FD21" s="90">
        <f>0</f>
        <v>0</v>
      </c>
      <c r="FE21" s="90"/>
      <c r="FF21" s="90">
        <f>FF254</f>
        <v>53311.942000000003</v>
      </c>
      <c r="FG21" s="90">
        <f>FH21+FI21+FJ21</f>
        <v>53311.942000000003</v>
      </c>
      <c r="FH21" s="90">
        <f>FH249</f>
        <v>0</v>
      </c>
      <c r="FI21" s="90">
        <f>FI249</f>
        <v>0</v>
      </c>
      <c r="FJ21" s="90">
        <f>FJ254</f>
        <v>53311.942000000003</v>
      </c>
      <c r="FK21" s="90"/>
      <c r="FL21" s="90"/>
      <c r="FM21" s="90"/>
      <c r="FN21" s="90"/>
      <c r="FO21" s="90">
        <f>FP21+FQ21+FR21</f>
        <v>53311.942000000003</v>
      </c>
      <c r="FP21" s="90">
        <f>FP253</f>
        <v>0</v>
      </c>
      <c r="FQ21" s="90"/>
      <c r="FR21" s="90">
        <f>FR254</f>
        <v>53311.942000000003</v>
      </c>
      <c r="FS21" s="90">
        <f t="shared" si="6"/>
        <v>0</v>
      </c>
      <c r="FT21" s="518">
        <f t="shared" si="7"/>
        <v>0</v>
      </c>
      <c r="FU21" s="90">
        <v>0</v>
      </c>
      <c r="FV21" s="518">
        <v>0</v>
      </c>
      <c r="FW21" s="90"/>
      <c r="FX21" s="518">
        <v>0</v>
      </c>
      <c r="FY21" s="90">
        <f>FY254</f>
        <v>0</v>
      </c>
      <c r="FZ21" s="518">
        <f t="shared" si="9"/>
        <v>0</v>
      </c>
      <c r="GA21" s="90">
        <f t="shared" si="10"/>
        <v>0</v>
      </c>
      <c r="GB21" s="518">
        <f t="shared" si="11"/>
        <v>0</v>
      </c>
      <c r="GC21" s="90">
        <v>0</v>
      </c>
      <c r="GD21" s="518">
        <v>0</v>
      </c>
      <c r="GE21" s="90"/>
      <c r="GF21" s="518">
        <v>0</v>
      </c>
      <c r="GG21" s="90">
        <f>GG254</f>
        <v>0</v>
      </c>
      <c r="GH21" s="518">
        <f t="shared" si="13"/>
        <v>0</v>
      </c>
      <c r="GI21" s="90">
        <f t="shared" si="14"/>
        <v>50593.478999999999</v>
      </c>
      <c r="GJ21" s="518">
        <f t="shared" si="15"/>
        <v>0.94900836664325594</v>
      </c>
      <c r="GK21" s="90">
        <v>0</v>
      </c>
      <c r="GL21" s="518">
        <v>0</v>
      </c>
      <c r="GM21" s="90"/>
      <c r="GN21" s="485">
        <v>0</v>
      </c>
      <c r="GO21" s="90">
        <f>GO254</f>
        <v>50593.478999999999</v>
      </c>
      <c r="GP21" s="518">
        <v>0</v>
      </c>
      <c r="GQ21" s="87"/>
      <c r="GR21" s="87"/>
      <c r="GS21" s="87"/>
      <c r="GT21" s="87"/>
      <c r="GU21" s="87">
        <f>GV21</f>
        <v>0</v>
      </c>
      <c r="GV21" s="87">
        <f>GV253</f>
        <v>0</v>
      </c>
      <c r="GW21" s="87"/>
      <c r="GX21" s="87"/>
      <c r="GY21" s="87"/>
      <c r="GZ21" s="87"/>
      <c r="HA21" s="87"/>
      <c r="HB21" s="87"/>
      <c r="HC21" s="87"/>
      <c r="HD21" s="87"/>
      <c r="HE21" s="87"/>
      <c r="HF21" s="87"/>
      <c r="HG21" s="87">
        <f>HH21</f>
        <v>0</v>
      </c>
      <c r="HH21" s="87">
        <f>HH253</f>
        <v>0</v>
      </c>
      <c r="HI21" s="87"/>
      <c r="HJ21" s="87"/>
      <c r="HK21" s="87"/>
      <c r="HL21" s="87"/>
      <c r="HM21" s="87"/>
      <c r="HN21" s="87"/>
      <c r="HO21" s="87">
        <f>HP21</f>
        <v>0</v>
      </c>
      <c r="HP21" s="87">
        <f>HP253</f>
        <v>0</v>
      </c>
      <c r="HQ21" s="87"/>
      <c r="HR21" s="87"/>
      <c r="HS21" s="87">
        <f>HT21</f>
        <v>0</v>
      </c>
      <c r="HT21" s="87">
        <f>HT253</f>
        <v>0</v>
      </c>
      <c r="HU21" s="87"/>
      <c r="HV21" s="87"/>
      <c r="HW21" s="87">
        <f>HX21</f>
        <v>0</v>
      </c>
      <c r="HX21" s="87">
        <f>HX253</f>
        <v>0</v>
      </c>
      <c r="HY21" s="87"/>
      <c r="HZ21" s="87"/>
      <c r="IA21" s="87">
        <f>IB21</f>
        <v>0</v>
      </c>
      <c r="IB21" s="87">
        <f>IB253</f>
        <v>0</v>
      </c>
      <c r="IC21" s="87"/>
      <c r="ID21" s="87"/>
      <c r="IE21" s="91"/>
      <c r="IF21" s="92"/>
      <c r="IG21" s="92"/>
      <c r="IH21" s="92"/>
    </row>
    <row r="22" spans="2:249" s="614" customFormat="1" ht="84" customHeight="1" x14ac:dyDescent="0.25">
      <c r="B22" s="718" t="s">
        <v>127</v>
      </c>
      <c r="C22" s="719"/>
      <c r="D22" s="623"/>
      <c r="E22" s="624"/>
      <c r="F22" s="624"/>
      <c r="G22" s="624"/>
      <c r="H22" s="624"/>
      <c r="I22" s="624"/>
      <c r="J22" s="624"/>
      <c r="K22" s="624"/>
      <c r="L22" s="624"/>
      <c r="M22" s="624"/>
      <c r="N22" s="624"/>
      <c r="O22" s="624"/>
      <c r="P22" s="624"/>
      <c r="Q22" s="623"/>
      <c r="R22" s="624"/>
      <c r="S22" s="624"/>
      <c r="T22" s="623"/>
      <c r="U22" s="623"/>
      <c r="V22" s="623"/>
      <c r="W22" s="623"/>
      <c r="X22" s="623"/>
      <c r="Y22" s="623"/>
      <c r="Z22" s="625"/>
      <c r="AA22" s="625"/>
      <c r="AB22" s="625"/>
      <c r="AC22" s="625"/>
      <c r="AD22" s="625"/>
      <c r="AE22" s="625"/>
      <c r="AF22" s="625"/>
      <c r="AG22" s="625"/>
      <c r="AH22" s="625"/>
      <c r="AI22" s="625"/>
      <c r="AJ22" s="625"/>
      <c r="AK22" s="625"/>
      <c r="AL22" s="625"/>
      <c r="AM22" s="625"/>
      <c r="AN22" s="625"/>
      <c r="AO22" s="626"/>
      <c r="AP22" s="625"/>
      <c r="AQ22" s="625"/>
      <c r="AR22" s="625"/>
      <c r="AS22" s="625"/>
      <c r="AT22" s="625"/>
      <c r="AU22" s="625"/>
      <c r="AV22" s="625"/>
      <c r="AW22" s="625"/>
      <c r="AX22" s="625"/>
      <c r="AY22" s="625"/>
      <c r="AZ22" s="625"/>
      <c r="BA22" s="625"/>
      <c r="BB22" s="625"/>
      <c r="BC22" s="625"/>
      <c r="BD22" s="625"/>
      <c r="BE22" s="625"/>
      <c r="BF22" s="625"/>
      <c r="BG22" s="625"/>
      <c r="BH22" s="625"/>
      <c r="BI22" s="625"/>
      <c r="BJ22" s="625"/>
      <c r="BK22" s="627"/>
      <c r="BL22" s="625"/>
      <c r="BM22" s="625"/>
      <c r="BN22" s="625"/>
      <c r="BO22" s="625"/>
      <c r="BP22" s="625"/>
      <c r="BQ22" s="625"/>
      <c r="BR22" s="625"/>
      <c r="BS22" s="625"/>
      <c r="BT22" s="625"/>
      <c r="BU22" s="625"/>
      <c r="BV22" s="625"/>
      <c r="BW22" s="625"/>
      <c r="BX22" s="625"/>
      <c r="BY22" s="625"/>
      <c r="BZ22" s="625"/>
      <c r="CA22" s="625"/>
      <c r="CB22" s="625"/>
      <c r="CC22" s="625"/>
      <c r="CD22" s="625"/>
      <c r="CE22" s="625"/>
      <c r="CF22" s="625"/>
      <c r="CG22" s="625"/>
      <c r="CH22" s="625"/>
      <c r="CI22" s="625"/>
      <c r="CJ22" s="625"/>
      <c r="CK22" s="625"/>
      <c r="CL22" s="625"/>
      <c r="CM22" s="625"/>
      <c r="CN22" s="625"/>
      <c r="CO22" s="625"/>
      <c r="CP22" s="625"/>
      <c r="CQ22" s="625"/>
      <c r="CR22" s="625"/>
      <c r="CS22" s="625"/>
      <c r="CT22" s="625"/>
      <c r="CU22" s="625"/>
      <c r="CV22" s="625"/>
      <c r="CW22" s="38">
        <f t="shared" ref="CW22:EF22" si="46">CW277+CW346</f>
        <v>0</v>
      </c>
      <c r="CX22" s="38">
        <f t="shared" si="46"/>
        <v>0</v>
      </c>
      <c r="CY22" s="38">
        <f t="shared" si="46"/>
        <v>0</v>
      </c>
      <c r="CZ22" s="38">
        <f t="shared" si="46"/>
        <v>0</v>
      </c>
      <c r="DA22" s="38">
        <f t="shared" si="46"/>
        <v>0</v>
      </c>
      <c r="DB22" s="38">
        <f t="shared" si="46"/>
        <v>0</v>
      </c>
      <c r="DC22" s="38">
        <f t="shared" si="46"/>
        <v>0</v>
      </c>
      <c r="DD22" s="38">
        <f t="shared" si="46"/>
        <v>0</v>
      </c>
      <c r="DE22" s="38">
        <f t="shared" si="46"/>
        <v>0</v>
      </c>
      <c r="DF22" s="38">
        <f t="shared" si="46"/>
        <v>52299.215400000001</v>
      </c>
      <c r="DG22" s="38">
        <f t="shared" si="46"/>
        <v>52299.215400000001</v>
      </c>
      <c r="DH22" s="38">
        <f t="shared" si="46"/>
        <v>0</v>
      </c>
      <c r="DI22" s="38">
        <f t="shared" si="46"/>
        <v>52299.215400000001</v>
      </c>
      <c r="DJ22" s="38">
        <f t="shared" si="46"/>
        <v>52299.215400000001</v>
      </c>
      <c r="DK22" s="38">
        <f t="shared" si="46"/>
        <v>0</v>
      </c>
      <c r="DL22" s="38">
        <f t="shared" si="46"/>
        <v>0</v>
      </c>
      <c r="DM22" s="38">
        <f t="shared" si="46"/>
        <v>0</v>
      </c>
      <c r="DN22" s="38">
        <f t="shared" si="46"/>
        <v>0</v>
      </c>
      <c r="DO22" s="38">
        <f t="shared" si="46"/>
        <v>0</v>
      </c>
      <c r="DP22" s="38">
        <f t="shared" si="46"/>
        <v>0</v>
      </c>
      <c r="DQ22" s="38">
        <f t="shared" si="46"/>
        <v>0</v>
      </c>
      <c r="DR22" s="38">
        <f t="shared" si="46"/>
        <v>0</v>
      </c>
      <c r="DS22" s="38">
        <f t="shared" si="46"/>
        <v>0</v>
      </c>
      <c r="DT22" s="38">
        <f t="shared" si="46"/>
        <v>0</v>
      </c>
      <c r="DU22" s="38">
        <f t="shared" si="46"/>
        <v>0</v>
      </c>
      <c r="DV22" s="38">
        <f t="shared" si="46"/>
        <v>0</v>
      </c>
      <c r="DW22" s="38">
        <f t="shared" si="46"/>
        <v>0</v>
      </c>
      <c r="DX22" s="38">
        <f t="shared" si="46"/>
        <v>0</v>
      </c>
      <c r="DY22" s="38">
        <f t="shared" si="46"/>
        <v>0</v>
      </c>
      <c r="DZ22" s="38">
        <f t="shared" si="46"/>
        <v>0</v>
      </c>
      <c r="EA22" s="38">
        <f t="shared" si="46"/>
        <v>0</v>
      </c>
      <c r="EB22" s="38">
        <f t="shared" si="46"/>
        <v>0</v>
      </c>
      <c r="EC22" s="38">
        <f t="shared" si="46"/>
        <v>0</v>
      </c>
      <c r="ED22" s="38">
        <f t="shared" si="46"/>
        <v>0</v>
      </c>
      <c r="EE22" s="38">
        <f t="shared" si="46"/>
        <v>0</v>
      </c>
      <c r="EF22" s="38">
        <f t="shared" si="46"/>
        <v>0</v>
      </c>
      <c r="EG22" s="38">
        <f>EH22+EI22+EJ22</f>
        <v>63432.124199999998</v>
      </c>
      <c r="EH22" s="38">
        <f>EH278+EH346</f>
        <v>0</v>
      </c>
      <c r="EI22" s="38">
        <f>EI278+EI346</f>
        <v>63432.124199999998</v>
      </c>
      <c r="EJ22" s="38">
        <f>EJ278+EJ346</f>
        <v>0</v>
      </c>
      <c r="EK22" s="38">
        <f>EL22+EM22+EN22</f>
        <v>-63432.124199999998</v>
      </c>
      <c r="EL22" s="38">
        <f>EL278+EL346</f>
        <v>0</v>
      </c>
      <c r="EM22" s="38">
        <f>EM278+EM346</f>
        <v>-63432.124199999998</v>
      </c>
      <c r="EN22" s="38">
        <f>EN278+EN346</f>
        <v>0</v>
      </c>
      <c r="EO22" s="38">
        <f>EP22+EQ22+ER22</f>
        <v>0</v>
      </c>
      <c r="EP22" s="38">
        <f>EP278+EP346</f>
        <v>0</v>
      </c>
      <c r="EQ22" s="38">
        <f>EQ278+EQ346</f>
        <v>0</v>
      </c>
      <c r="ER22" s="38">
        <f>ER278+ER346</f>
        <v>0</v>
      </c>
      <c r="ES22" s="38">
        <f>ET22+EU22+EV22</f>
        <v>0</v>
      </c>
      <c r="ET22" s="38">
        <f>ET278+ET346</f>
        <v>0</v>
      </c>
      <c r="EU22" s="38">
        <f>EU278+EU346</f>
        <v>0</v>
      </c>
      <c r="EV22" s="38">
        <f>EV278+EV346</f>
        <v>0</v>
      </c>
      <c r="EW22" s="38">
        <f t="shared" ref="EW22:FB22" si="47">EW277+EW346</f>
        <v>0</v>
      </c>
      <c r="EX22" s="38">
        <f t="shared" si="47"/>
        <v>0</v>
      </c>
      <c r="EY22" s="38">
        <f t="shared" si="47"/>
        <v>0</v>
      </c>
      <c r="EZ22" s="38" t="e">
        <f t="shared" si="47"/>
        <v>#REF!</v>
      </c>
      <c r="FA22" s="38" t="e">
        <f t="shared" si="47"/>
        <v>#REF!</v>
      </c>
      <c r="FB22" s="38">
        <f t="shared" si="47"/>
        <v>0</v>
      </c>
      <c r="FC22" s="39">
        <f>FD22+FE22+FF22</f>
        <v>63432.124199999998</v>
      </c>
      <c r="FD22" s="39">
        <f>FD278+FD346</f>
        <v>0</v>
      </c>
      <c r="FE22" s="39">
        <f>FE278+FE346</f>
        <v>63432.124199999998</v>
      </c>
      <c r="FF22" s="39">
        <f>FF278+FF346</f>
        <v>0</v>
      </c>
      <c r="FG22" s="39">
        <f>FH22+FI22+FJ22</f>
        <v>0</v>
      </c>
      <c r="FH22" s="39">
        <f>FH278+FH346</f>
        <v>0</v>
      </c>
      <c r="FI22" s="39">
        <f>FI278+FI346</f>
        <v>0</v>
      </c>
      <c r="FJ22" s="39">
        <f>FJ278+FJ346</f>
        <v>0</v>
      </c>
      <c r="FK22" s="39">
        <f>FL22+FM22+FN22</f>
        <v>0</v>
      </c>
      <c r="FL22" s="39">
        <f>FL278+FL346</f>
        <v>0</v>
      </c>
      <c r="FM22" s="39">
        <f>FM278+FM346</f>
        <v>0</v>
      </c>
      <c r="FN22" s="39">
        <f>FN278+FN346</f>
        <v>0</v>
      </c>
      <c r="FO22" s="39">
        <f>FP22+FQ22+FR22</f>
        <v>63432.124199999998</v>
      </c>
      <c r="FP22" s="39">
        <f>FP278+FP346</f>
        <v>0</v>
      </c>
      <c r="FQ22" s="39">
        <f>FQ278+FQ346</f>
        <v>63432.124199999998</v>
      </c>
      <c r="FR22" s="39">
        <f>FR278+FR346</f>
        <v>0</v>
      </c>
      <c r="FS22" s="39">
        <f t="shared" si="6"/>
        <v>0</v>
      </c>
      <c r="FT22" s="485">
        <f t="shared" si="7"/>
        <v>0</v>
      </c>
      <c r="FU22" s="39">
        <f>FU278+FU346</f>
        <v>0</v>
      </c>
      <c r="FV22" s="485">
        <v>0</v>
      </c>
      <c r="FW22" s="39">
        <f>FW278+FW346</f>
        <v>0</v>
      </c>
      <c r="FX22" s="485">
        <f>FW22/FE22</f>
        <v>0</v>
      </c>
      <c r="FY22" s="39">
        <f>FY278+FY346</f>
        <v>0</v>
      </c>
      <c r="FZ22" s="485">
        <v>0</v>
      </c>
      <c r="GA22" s="39">
        <f t="shared" si="10"/>
        <v>0</v>
      </c>
      <c r="GB22" s="485">
        <f t="shared" si="11"/>
        <v>0</v>
      </c>
      <c r="GC22" s="39">
        <f>GC278+GC346</f>
        <v>0</v>
      </c>
      <c r="GD22" s="485">
        <v>0</v>
      </c>
      <c r="GE22" s="39">
        <f>GE278+GE346</f>
        <v>0</v>
      </c>
      <c r="GF22" s="485">
        <f>GE22/FE22</f>
        <v>0</v>
      </c>
      <c r="GG22" s="39">
        <f>GG278+GG346</f>
        <v>0</v>
      </c>
      <c r="GH22" s="485">
        <v>0</v>
      </c>
      <c r="GI22" s="39">
        <f t="shared" si="14"/>
        <v>0</v>
      </c>
      <c r="GJ22" s="485">
        <f t="shared" si="15"/>
        <v>0</v>
      </c>
      <c r="GK22" s="39">
        <f>GK278+GK346</f>
        <v>0</v>
      </c>
      <c r="GL22" s="485">
        <v>0</v>
      </c>
      <c r="GM22" s="39">
        <f>GM278+GM346</f>
        <v>0</v>
      </c>
      <c r="GN22" s="485">
        <f>GM22/FE22</f>
        <v>0</v>
      </c>
      <c r="GO22" s="39">
        <f>GO278+GO346</f>
        <v>0</v>
      </c>
      <c r="GP22" s="485">
        <v>0</v>
      </c>
      <c r="GQ22" s="38"/>
      <c r="GR22" s="38"/>
      <c r="GS22" s="38"/>
      <c r="GT22" s="38"/>
      <c r="GU22" s="38">
        <f>GV22+GW22+GX22</f>
        <v>63432.124199999998</v>
      </c>
      <c r="GV22" s="38">
        <f>GV278+GV346</f>
        <v>0</v>
      </c>
      <c r="GW22" s="38">
        <f>GW278+GW346</f>
        <v>63432.124199999998</v>
      </c>
      <c r="GX22" s="38">
        <f>GX278+GX346</f>
        <v>0</v>
      </c>
      <c r="GY22" s="38"/>
      <c r="GZ22" s="38"/>
      <c r="HA22" s="38"/>
      <c r="HB22" s="38"/>
      <c r="HC22" s="38"/>
      <c r="HD22" s="38"/>
      <c r="HE22" s="38"/>
      <c r="HF22" s="38"/>
      <c r="HG22" s="38">
        <f>HH22+HI22+HJ22</f>
        <v>0</v>
      </c>
      <c r="HH22" s="38">
        <f>HH278+HH346</f>
        <v>0</v>
      </c>
      <c r="HI22" s="38">
        <f>HI278+HI346</f>
        <v>0</v>
      </c>
      <c r="HJ22" s="38">
        <f>HJ278+HJ346</f>
        <v>0</v>
      </c>
      <c r="HK22" s="38">
        <f>HL22+HM22+HN22</f>
        <v>0</v>
      </c>
      <c r="HL22" s="38">
        <f>HL278+HL346</f>
        <v>0</v>
      </c>
      <c r="HM22" s="38">
        <f>HM278+HM346</f>
        <v>0</v>
      </c>
      <c r="HN22" s="38">
        <f>HN278+HN346</f>
        <v>0</v>
      </c>
      <c r="HO22" s="38">
        <f>HP22+HQ22+HR22</f>
        <v>63432.124199999998</v>
      </c>
      <c r="HP22" s="38">
        <f>HP278+HP346</f>
        <v>0</v>
      </c>
      <c r="HQ22" s="38">
        <f>HQ278+HQ346</f>
        <v>63432.124199999998</v>
      </c>
      <c r="HR22" s="38">
        <f>HR278+HR346</f>
        <v>0</v>
      </c>
      <c r="HS22" s="38">
        <f>HT22+HU22+HV22</f>
        <v>63432.124199999998</v>
      </c>
      <c r="HT22" s="38">
        <f>HT278+HT346</f>
        <v>0</v>
      </c>
      <c r="HU22" s="38">
        <f>HU278+HU346</f>
        <v>63432.124199999998</v>
      </c>
      <c r="HV22" s="38">
        <f>HV278+HV346</f>
        <v>0</v>
      </c>
      <c r="HW22" s="38">
        <f>HX22+HY22+HZ22</f>
        <v>0</v>
      </c>
      <c r="HX22" s="38">
        <f>HX278+HX346</f>
        <v>0</v>
      </c>
      <c r="HY22" s="38">
        <f>HY278+HY346</f>
        <v>0</v>
      </c>
      <c r="HZ22" s="38">
        <f>HZ278+HZ346</f>
        <v>0</v>
      </c>
      <c r="IA22" s="38">
        <f>IB22+IC22+ID22</f>
        <v>63432.124199999998</v>
      </c>
      <c r="IB22" s="38">
        <f>IB278+IB346</f>
        <v>0</v>
      </c>
      <c r="IC22" s="38">
        <f>IC278+IC346</f>
        <v>63432.124199999998</v>
      </c>
      <c r="ID22" s="38">
        <f>ID278+ID346</f>
        <v>0</v>
      </c>
      <c r="IE22" s="611"/>
      <c r="IF22" s="612"/>
      <c r="IG22" s="612"/>
      <c r="IH22" s="612"/>
      <c r="II22" s="613"/>
      <c r="IJ22" s="613"/>
      <c r="IK22" s="613"/>
      <c r="IL22" s="613"/>
      <c r="IM22" s="613"/>
      <c r="IN22" s="613"/>
      <c r="IO22" s="613"/>
    </row>
    <row r="23" spans="2:249" s="614" customFormat="1" ht="84" customHeight="1" x14ac:dyDescent="0.25">
      <c r="B23" s="718" t="s">
        <v>128</v>
      </c>
      <c r="C23" s="719"/>
      <c r="D23" s="623"/>
      <c r="E23" s="624"/>
      <c r="F23" s="624"/>
      <c r="G23" s="624"/>
      <c r="H23" s="624"/>
      <c r="I23" s="624"/>
      <c r="J23" s="624"/>
      <c r="K23" s="624"/>
      <c r="L23" s="624"/>
      <c r="M23" s="624"/>
      <c r="N23" s="624"/>
      <c r="O23" s="624"/>
      <c r="P23" s="624"/>
      <c r="Q23" s="623"/>
      <c r="R23" s="624"/>
      <c r="S23" s="624"/>
      <c r="T23" s="623"/>
      <c r="U23" s="623"/>
      <c r="V23" s="623"/>
      <c r="W23" s="623"/>
      <c r="X23" s="623"/>
      <c r="Y23" s="623"/>
      <c r="Z23" s="625"/>
      <c r="AA23" s="625"/>
      <c r="AB23" s="625"/>
      <c r="AC23" s="625"/>
      <c r="AD23" s="625"/>
      <c r="AE23" s="625"/>
      <c r="AF23" s="625"/>
      <c r="AG23" s="625"/>
      <c r="AH23" s="625"/>
      <c r="AI23" s="625"/>
      <c r="AJ23" s="625"/>
      <c r="AK23" s="625"/>
      <c r="AL23" s="625"/>
      <c r="AM23" s="625"/>
      <c r="AN23" s="625"/>
      <c r="AO23" s="626"/>
      <c r="AP23" s="625"/>
      <c r="AQ23" s="625"/>
      <c r="AR23" s="625"/>
      <c r="AS23" s="625"/>
      <c r="AT23" s="625"/>
      <c r="AU23" s="625"/>
      <c r="AV23" s="625"/>
      <c r="AW23" s="625"/>
      <c r="AX23" s="625"/>
      <c r="AY23" s="625"/>
      <c r="AZ23" s="625"/>
      <c r="BA23" s="625"/>
      <c r="BB23" s="625"/>
      <c r="BC23" s="625"/>
      <c r="BD23" s="625"/>
      <c r="BE23" s="625"/>
      <c r="BF23" s="625"/>
      <c r="BG23" s="625"/>
      <c r="BH23" s="625"/>
      <c r="BI23" s="625"/>
      <c r="BJ23" s="625"/>
      <c r="BK23" s="627"/>
      <c r="BL23" s="625"/>
      <c r="BM23" s="625"/>
      <c r="BN23" s="625"/>
      <c r="BO23" s="625"/>
      <c r="BP23" s="625"/>
      <c r="BQ23" s="625"/>
      <c r="BR23" s="625"/>
      <c r="BS23" s="625"/>
      <c r="BT23" s="625"/>
      <c r="BU23" s="625"/>
      <c r="BV23" s="625"/>
      <c r="BW23" s="625"/>
      <c r="BX23" s="625"/>
      <c r="BY23" s="625"/>
      <c r="BZ23" s="625"/>
      <c r="CA23" s="625"/>
      <c r="CB23" s="625"/>
      <c r="CC23" s="625"/>
      <c r="CD23" s="625"/>
      <c r="CE23" s="625"/>
      <c r="CF23" s="625"/>
      <c r="CG23" s="625"/>
      <c r="CH23" s="625"/>
      <c r="CI23" s="625"/>
      <c r="CJ23" s="625"/>
      <c r="CK23" s="625"/>
      <c r="CL23" s="625"/>
      <c r="CM23" s="625"/>
      <c r="CN23" s="625"/>
      <c r="CO23" s="625"/>
      <c r="CP23" s="625"/>
      <c r="CQ23" s="625"/>
      <c r="CR23" s="625"/>
      <c r="CS23" s="625"/>
      <c r="CT23" s="625"/>
      <c r="CU23" s="625"/>
      <c r="CV23" s="625"/>
      <c r="CW23" s="38">
        <f t="shared" ref="CW23:EF23" si="48">CW278+CW347</f>
        <v>0</v>
      </c>
      <c r="CX23" s="38">
        <f t="shared" si="48"/>
        <v>0</v>
      </c>
      <c r="CY23" s="38">
        <f t="shared" si="48"/>
        <v>0</v>
      </c>
      <c r="CZ23" s="38">
        <f t="shared" si="48"/>
        <v>0</v>
      </c>
      <c r="DA23" s="38">
        <f t="shared" si="48"/>
        <v>0</v>
      </c>
      <c r="DB23" s="38">
        <f t="shared" si="48"/>
        <v>0</v>
      </c>
      <c r="DC23" s="38">
        <f t="shared" si="48"/>
        <v>0</v>
      </c>
      <c r="DD23" s="38">
        <f t="shared" si="48"/>
        <v>0</v>
      </c>
      <c r="DE23" s="38">
        <f t="shared" si="48"/>
        <v>0</v>
      </c>
      <c r="DF23" s="38">
        <f t="shared" si="48"/>
        <v>52299.215400000001</v>
      </c>
      <c r="DG23" s="38">
        <f t="shared" si="48"/>
        <v>52299.215400000001</v>
      </c>
      <c r="DH23" s="38">
        <f t="shared" si="48"/>
        <v>0</v>
      </c>
      <c r="DI23" s="38">
        <f t="shared" si="48"/>
        <v>52299.215400000001</v>
      </c>
      <c r="DJ23" s="38">
        <f t="shared" si="48"/>
        <v>52299.215400000001</v>
      </c>
      <c r="DK23" s="38">
        <f t="shared" si="48"/>
        <v>0</v>
      </c>
      <c r="DL23" s="38">
        <f t="shared" si="48"/>
        <v>0</v>
      </c>
      <c r="DM23" s="38">
        <f t="shared" si="48"/>
        <v>0</v>
      </c>
      <c r="DN23" s="38">
        <f t="shared" si="48"/>
        <v>0</v>
      </c>
      <c r="DO23" s="38">
        <f t="shared" si="48"/>
        <v>0</v>
      </c>
      <c r="DP23" s="38">
        <f t="shared" si="48"/>
        <v>0</v>
      </c>
      <c r="DQ23" s="38">
        <f t="shared" si="48"/>
        <v>0</v>
      </c>
      <c r="DR23" s="38">
        <f t="shared" si="48"/>
        <v>0</v>
      </c>
      <c r="DS23" s="38">
        <f t="shared" si="48"/>
        <v>0</v>
      </c>
      <c r="DT23" s="38">
        <f t="shared" si="48"/>
        <v>0</v>
      </c>
      <c r="DU23" s="38">
        <f t="shared" si="48"/>
        <v>0</v>
      </c>
      <c r="DV23" s="38">
        <f t="shared" si="48"/>
        <v>0</v>
      </c>
      <c r="DW23" s="38">
        <f t="shared" si="48"/>
        <v>0</v>
      </c>
      <c r="DX23" s="38">
        <f t="shared" si="48"/>
        <v>0</v>
      </c>
      <c r="DY23" s="38">
        <f t="shared" si="48"/>
        <v>0</v>
      </c>
      <c r="DZ23" s="38">
        <f t="shared" si="48"/>
        <v>0</v>
      </c>
      <c r="EA23" s="38">
        <f t="shared" si="48"/>
        <v>0</v>
      </c>
      <c r="EB23" s="38">
        <f t="shared" si="48"/>
        <v>0</v>
      </c>
      <c r="EC23" s="38">
        <f t="shared" si="48"/>
        <v>0</v>
      </c>
      <c r="ED23" s="38">
        <f t="shared" si="48"/>
        <v>0</v>
      </c>
      <c r="EE23" s="38">
        <f t="shared" si="48"/>
        <v>0</v>
      </c>
      <c r="EF23" s="38">
        <f t="shared" si="48"/>
        <v>0</v>
      </c>
      <c r="EG23" s="38">
        <f>EG352</f>
        <v>129025.8441</v>
      </c>
      <c r="EH23" s="38">
        <f t="shared" ref="EH23:HU23" si="49">EH352</f>
        <v>129025.8441</v>
      </c>
      <c r="EI23" s="38">
        <f t="shared" si="49"/>
        <v>0</v>
      </c>
      <c r="EJ23" s="38">
        <f t="shared" si="49"/>
        <v>0</v>
      </c>
      <c r="EK23" s="38">
        <f t="shared" si="49"/>
        <v>-129025.8441</v>
      </c>
      <c r="EL23" s="38">
        <f t="shared" si="49"/>
        <v>-129025.8441</v>
      </c>
      <c r="EM23" s="38">
        <f t="shared" si="49"/>
        <v>0</v>
      </c>
      <c r="EN23" s="38">
        <f t="shared" si="49"/>
        <v>0</v>
      </c>
      <c r="EO23" s="38">
        <f t="shared" si="49"/>
        <v>129025.8441</v>
      </c>
      <c r="EP23" s="38">
        <f t="shared" si="49"/>
        <v>129025.8441</v>
      </c>
      <c r="EQ23" s="38">
        <f t="shared" si="49"/>
        <v>0</v>
      </c>
      <c r="ER23" s="38">
        <f t="shared" si="49"/>
        <v>0</v>
      </c>
      <c r="ES23" s="38">
        <f t="shared" si="49"/>
        <v>0</v>
      </c>
      <c r="ET23" s="38">
        <f t="shared" si="49"/>
        <v>0</v>
      </c>
      <c r="EU23" s="38">
        <f t="shared" si="49"/>
        <v>0</v>
      </c>
      <c r="EV23" s="38">
        <f t="shared" si="49"/>
        <v>0</v>
      </c>
      <c r="EW23" s="38">
        <f t="shared" si="49"/>
        <v>0</v>
      </c>
      <c r="EX23" s="38">
        <f t="shared" si="49"/>
        <v>0</v>
      </c>
      <c r="EY23" s="38">
        <f t="shared" si="49"/>
        <v>0</v>
      </c>
      <c r="EZ23" s="38">
        <f t="shared" si="49"/>
        <v>148313.40560999999</v>
      </c>
      <c r="FA23" s="38">
        <f t="shared" si="49"/>
        <v>148313.40560999999</v>
      </c>
      <c r="FB23" s="38">
        <f t="shared" si="49"/>
        <v>0</v>
      </c>
      <c r="FC23" s="39">
        <f t="shared" si="49"/>
        <v>148313.40560999999</v>
      </c>
      <c r="FD23" s="39">
        <f>FD352</f>
        <v>148313.40560999999</v>
      </c>
      <c r="FE23" s="39">
        <f>FE352</f>
        <v>0</v>
      </c>
      <c r="FF23" s="39">
        <f>FF352</f>
        <v>0</v>
      </c>
      <c r="FG23" s="39">
        <f t="shared" si="49"/>
        <v>0</v>
      </c>
      <c r="FH23" s="39">
        <f t="shared" si="49"/>
        <v>0</v>
      </c>
      <c r="FI23" s="39">
        <f t="shared" si="49"/>
        <v>0</v>
      </c>
      <c r="FJ23" s="39">
        <f t="shared" si="49"/>
        <v>0</v>
      </c>
      <c r="FK23" s="39">
        <f t="shared" si="49"/>
        <v>0</v>
      </c>
      <c r="FL23" s="39">
        <f t="shared" si="49"/>
        <v>0</v>
      </c>
      <c r="FM23" s="39">
        <f t="shared" si="49"/>
        <v>0</v>
      </c>
      <c r="FN23" s="39">
        <f t="shared" si="49"/>
        <v>0</v>
      </c>
      <c r="FO23" s="39">
        <f t="shared" si="49"/>
        <v>148313.40561000002</v>
      </c>
      <c r="FP23" s="39">
        <f t="shared" si="49"/>
        <v>148313.40561000002</v>
      </c>
      <c r="FQ23" s="39">
        <f t="shared" si="49"/>
        <v>0</v>
      </c>
      <c r="FR23" s="39">
        <f t="shared" si="49"/>
        <v>0</v>
      </c>
      <c r="FS23" s="39">
        <f t="shared" si="6"/>
        <v>31125.079519999999</v>
      </c>
      <c r="FT23" s="485">
        <f t="shared" si="7"/>
        <v>0.20986019026388941</v>
      </c>
      <c r="FU23" s="39">
        <f>FU352</f>
        <v>31125.079519999999</v>
      </c>
      <c r="FV23" s="485">
        <f t="shared" si="8"/>
        <v>0.20986019026388941</v>
      </c>
      <c r="FW23" s="39">
        <f>FW352</f>
        <v>0</v>
      </c>
      <c r="FX23" s="485">
        <v>0</v>
      </c>
      <c r="FY23" s="39">
        <f>FY352</f>
        <v>0</v>
      </c>
      <c r="FZ23" s="485">
        <v>0</v>
      </c>
      <c r="GA23" s="39">
        <f t="shared" si="10"/>
        <v>22830.567520000001</v>
      </c>
      <c r="GB23" s="485">
        <f t="shared" si="11"/>
        <v>0.15393461856060742</v>
      </c>
      <c r="GC23" s="39">
        <f>GC352</f>
        <v>22830.567520000001</v>
      </c>
      <c r="GD23" s="485">
        <f t="shared" si="12"/>
        <v>0.15393461856060742</v>
      </c>
      <c r="GE23" s="39">
        <f>GE352</f>
        <v>0</v>
      </c>
      <c r="GF23" s="485">
        <v>0</v>
      </c>
      <c r="GG23" s="39">
        <f>GG352</f>
        <v>0</v>
      </c>
      <c r="GH23" s="485">
        <v>0</v>
      </c>
      <c r="GI23" s="39">
        <f t="shared" si="14"/>
        <v>148304.16138000001</v>
      </c>
      <c r="GJ23" s="485">
        <f t="shared" si="15"/>
        <v>0.9999376709747716</v>
      </c>
      <c r="GK23" s="39">
        <f>GK352</f>
        <v>148304.16138000001</v>
      </c>
      <c r="GL23" s="485">
        <f t="shared" si="16"/>
        <v>0.9999376709747716</v>
      </c>
      <c r="GM23" s="39">
        <f>GM352</f>
        <v>0</v>
      </c>
      <c r="GN23" s="485">
        <v>0</v>
      </c>
      <c r="GO23" s="39">
        <f>GO352</f>
        <v>0</v>
      </c>
      <c r="GP23" s="485">
        <v>0</v>
      </c>
      <c r="GQ23" s="38"/>
      <c r="GR23" s="38"/>
      <c r="GS23" s="38"/>
      <c r="GT23" s="38"/>
      <c r="GU23" s="38">
        <f t="shared" si="49"/>
        <v>130000</v>
      </c>
      <c r="GV23" s="38">
        <f t="shared" si="49"/>
        <v>130000</v>
      </c>
      <c r="GW23" s="38">
        <f t="shared" si="49"/>
        <v>0</v>
      </c>
      <c r="GX23" s="38">
        <f t="shared" si="49"/>
        <v>0</v>
      </c>
      <c r="GY23" s="38">
        <f t="shared" si="49"/>
        <v>0</v>
      </c>
      <c r="GZ23" s="38">
        <f t="shared" si="49"/>
        <v>0</v>
      </c>
      <c r="HA23" s="38">
        <f t="shared" si="49"/>
        <v>0</v>
      </c>
      <c r="HB23" s="38">
        <f t="shared" si="49"/>
        <v>0</v>
      </c>
      <c r="HC23" s="38">
        <f t="shared" si="49"/>
        <v>0</v>
      </c>
      <c r="HD23" s="38">
        <f t="shared" si="49"/>
        <v>0</v>
      </c>
      <c r="HE23" s="38">
        <f t="shared" si="49"/>
        <v>0</v>
      </c>
      <c r="HF23" s="38">
        <f t="shared" si="49"/>
        <v>0</v>
      </c>
      <c r="HG23" s="38">
        <f t="shared" si="49"/>
        <v>0</v>
      </c>
      <c r="HH23" s="38">
        <f t="shared" si="49"/>
        <v>0</v>
      </c>
      <c r="HI23" s="38">
        <f t="shared" si="49"/>
        <v>0</v>
      </c>
      <c r="HJ23" s="38">
        <f t="shared" si="49"/>
        <v>0</v>
      </c>
      <c r="HK23" s="38">
        <f t="shared" si="49"/>
        <v>0</v>
      </c>
      <c r="HL23" s="38">
        <f t="shared" si="49"/>
        <v>0</v>
      </c>
      <c r="HM23" s="38">
        <f t="shared" si="49"/>
        <v>0</v>
      </c>
      <c r="HN23" s="38">
        <f t="shared" si="49"/>
        <v>0</v>
      </c>
      <c r="HO23" s="38">
        <f t="shared" si="49"/>
        <v>130000</v>
      </c>
      <c r="HP23" s="38">
        <f t="shared" si="49"/>
        <v>130000</v>
      </c>
      <c r="HQ23" s="38">
        <f t="shared" si="49"/>
        <v>0</v>
      </c>
      <c r="HR23" s="38">
        <f t="shared" si="49"/>
        <v>0</v>
      </c>
      <c r="HS23" s="38">
        <f t="shared" si="49"/>
        <v>295032.8</v>
      </c>
      <c r="HT23" s="38">
        <f t="shared" si="49"/>
        <v>295032.8</v>
      </c>
      <c r="HU23" s="38">
        <f t="shared" si="49"/>
        <v>0</v>
      </c>
      <c r="HV23" s="38">
        <f t="shared" ref="HV23:ID23" si="50">HV352</f>
        <v>0</v>
      </c>
      <c r="HW23" s="38">
        <f t="shared" si="50"/>
        <v>0</v>
      </c>
      <c r="HX23" s="38">
        <f t="shared" si="50"/>
        <v>0</v>
      </c>
      <c r="HY23" s="38">
        <f t="shared" si="50"/>
        <v>0</v>
      </c>
      <c r="HZ23" s="38">
        <f t="shared" si="50"/>
        <v>0</v>
      </c>
      <c r="IA23" s="38">
        <f t="shared" si="50"/>
        <v>295032.8</v>
      </c>
      <c r="IB23" s="38">
        <f t="shared" si="50"/>
        <v>295032.8</v>
      </c>
      <c r="IC23" s="38">
        <f t="shared" si="50"/>
        <v>0</v>
      </c>
      <c r="ID23" s="38">
        <f t="shared" si="50"/>
        <v>0</v>
      </c>
      <c r="IE23" s="611"/>
      <c r="IF23" s="612"/>
      <c r="IG23" s="612"/>
      <c r="IH23" s="612"/>
      <c r="II23" s="613"/>
      <c r="IJ23" s="613"/>
      <c r="IK23" s="613"/>
      <c r="IL23" s="613"/>
      <c r="IM23" s="613"/>
      <c r="IN23" s="613"/>
      <c r="IO23" s="613"/>
    </row>
    <row r="24" spans="2:249" s="96" customFormat="1" ht="32.25" customHeight="1" x14ac:dyDescent="0.3">
      <c r="B24" s="742" t="s">
        <v>129</v>
      </c>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3"/>
      <c r="AL24" s="743"/>
      <c r="AM24" s="743"/>
      <c r="AN24" s="743"/>
      <c r="AO24" s="743"/>
      <c r="AP24" s="743"/>
      <c r="AQ24" s="743"/>
      <c r="AR24" s="743"/>
      <c r="AS24" s="743"/>
      <c r="AT24" s="743"/>
      <c r="AU24" s="743"/>
      <c r="AV24" s="743"/>
      <c r="AW24" s="743"/>
      <c r="AX24" s="743"/>
      <c r="AY24" s="743"/>
      <c r="AZ24" s="743"/>
      <c r="BA24" s="743"/>
      <c r="BB24" s="743"/>
      <c r="BC24" s="743"/>
      <c r="BD24" s="743"/>
      <c r="BE24" s="743"/>
      <c r="BF24" s="743"/>
      <c r="BG24" s="743"/>
      <c r="BH24" s="743"/>
      <c r="BI24" s="743"/>
      <c r="BJ24" s="743"/>
      <c r="BK24" s="743"/>
      <c r="BL24" s="743"/>
      <c r="BM24" s="743"/>
      <c r="BN24" s="743"/>
      <c r="BO24" s="743"/>
      <c r="BP24" s="743"/>
      <c r="BQ24" s="743"/>
      <c r="BR24" s="743"/>
      <c r="BS24" s="743"/>
      <c r="BT24" s="743"/>
      <c r="BU24" s="743"/>
      <c r="BV24" s="743"/>
      <c r="BW24" s="743"/>
      <c r="BX24" s="743"/>
      <c r="BY24" s="743"/>
      <c r="BZ24" s="743"/>
      <c r="CA24" s="743"/>
      <c r="CB24" s="743"/>
      <c r="CC24" s="743"/>
      <c r="CD24" s="743"/>
      <c r="CE24" s="743"/>
      <c r="CF24" s="743"/>
      <c r="CG24" s="743"/>
      <c r="CH24" s="743"/>
      <c r="CI24" s="743"/>
      <c r="CJ24" s="743"/>
      <c r="CK24" s="743"/>
      <c r="CL24" s="743"/>
      <c r="CM24" s="743"/>
      <c r="CN24" s="743"/>
      <c r="CO24" s="743"/>
      <c r="CP24" s="743"/>
      <c r="CQ24" s="743"/>
      <c r="CR24" s="743"/>
      <c r="CS24" s="743"/>
      <c r="CT24" s="743"/>
      <c r="CU24" s="743"/>
      <c r="CV24" s="743"/>
      <c r="CW24" s="743"/>
      <c r="CX24" s="743"/>
      <c r="CY24" s="743"/>
      <c r="CZ24" s="743"/>
      <c r="DA24" s="743"/>
      <c r="DB24" s="743"/>
      <c r="DC24" s="743"/>
      <c r="DD24" s="743"/>
      <c r="DE24" s="743"/>
      <c r="DF24" s="743"/>
      <c r="DG24" s="743"/>
      <c r="DH24" s="743"/>
      <c r="DI24" s="743"/>
      <c r="DJ24" s="743"/>
      <c r="DK24" s="743"/>
      <c r="DL24" s="743"/>
      <c r="DM24" s="743"/>
      <c r="DN24" s="743"/>
      <c r="DO24" s="743"/>
      <c r="DP24" s="743"/>
      <c r="DQ24" s="743"/>
      <c r="DR24" s="743"/>
      <c r="DS24" s="743"/>
      <c r="DT24" s="743"/>
      <c r="DU24" s="743"/>
      <c r="DV24" s="743"/>
      <c r="DW24" s="743"/>
      <c r="DX24" s="743"/>
      <c r="DY24" s="743"/>
      <c r="DZ24" s="743"/>
      <c r="EA24" s="743"/>
      <c r="EB24" s="743"/>
      <c r="EC24" s="743"/>
      <c r="ED24" s="743"/>
      <c r="EE24" s="743"/>
      <c r="EF24" s="743"/>
      <c r="EG24" s="743"/>
      <c r="EH24" s="743"/>
      <c r="EI24" s="743"/>
      <c r="EJ24" s="743"/>
      <c r="EK24" s="743"/>
      <c r="EL24" s="743"/>
      <c r="EM24" s="743"/>
      <c r="EN24" s="743"/>
      <c r="EO24" s="743"/>
      <c r="EP24" s="743"/>
      <c r="EQ24" s="743"/>
      <c r="ER24" s="743"/>
      <c r="ES24" s="743"/>
      <c r="ET24" s="743"/>
      <c r="EU24" s="743"/>
      <c r="EV24" s="743"/>
      <c r="EW24" s="743"/>
      <c r="EX24" s="743"/>
      <c r="EY24" s="743"/>
      <c r="EZ24" s="743"/>
      <c r="FA24" s="743"/>
      <c r="FB24" s="743"/>
      <c r="FC24" s="743"/>
      <c r="FD24" s="743"/>
      <c r="FE24" s="743"/>
      <c r="FF24" s="743"/>
      <c r="FG24" s="743"/>
      <c r="FH24" s="743"/>
      <c r="FI24" s="743"/>
      <c r="FJ24" s="743"/>
      <c r="FK24" s="743"/>
      <c r="FL24" s="743"/>
      <c r="FM24" s="743"/>
      <c r="FN24" s="743"/>
      <c r="FO24" s="743"/>
      <c r="FP24" s="743"/>
      <c r="FQ24" s="743"/>
      <c r="FR24" s="743"/>
      <c r="FS24" s="743"/>
      <c r="FT24" s="743"/>
      <c r="FU24" s="743"/>
      <c r="FV24" s="743"/>
      <c r="FW24" s="743"/>
      <c r="FX24" s="743"/>
      <c r="FY24" s="743"/>
      <c r="FZ24" s="743"/>
      <c r="GA24" s="743"/>
      <c r="GB24" s="743"/>
      <c r="GC24" s="743"/>
      <c r="GD24" s="743"/>
      <c r="GE24" s="743"/>
      <c r="GF24" s="743"/>
      <c r="GG24" s="743"/>
      <c r="GH24" s="743"/>
      <c r="GI24" s="743"/>
      <c r="GJ24" s="743"/>
      <c r="GK24" s="743"/>
      <c r="GL24" s="743"/>
      <c r="GM24" s="743"/>
      <c r="GN24" s="743"/>
      <c r="GO24" s="743"/>
      <c r="GP24" s="743"/>
      <c r="GQ24" s="743"/>
      <c r="GR24" s="743"/>
      <c r="GS24" s="743"/>
      <c r="GT24" s="743"/>
      <c r="GU24" s="743"/>
      <c r="GV24" s="743"/>
      <c r="GW24" s="743"/>
      <c r="GX24" s="743"/>
      <c r="GY24" s="743"/>
      <c r="GZ24" s="743"/>
      <c r="HA24" s="743"/>
      <c r="HB24" s="743"/>
      <c r="HC24" s="743"/>
      <c r="HD24" s="743"/>
      <c r="HE24" s="743"/>
      <c r="HF24" s="743"/>
      <c r="HG24" s="743"/>
      <c r="HH24" s="743"/>
      <c r="HI24" s="743"/>
      <c r="HJ24" s="743"/>
      <c r="HK24" s="743"/>
      <c r="HL24" s="743"/>
      <c r="HM24" s="743"/>
      <c r="HN24" s="743"/>
      <c r="HO24" s="743"/>
      <c r="HP24" s="743"/>
      <c r="HQ24" s="743"/>
      <c r="HR24" s="743"/>
      <c r="HS24" s="744"/>
      <c r="HT24" s="744"/>
      <c r="HU24" s="744"/>
      <c r="HV24" s="744"/>
      <c r="HW24" s="744"/>
      <c r="HX24" s="744"/>
      <c r="HY24" s="744"/>
      <c r="HZ24" s="744"/>
      <c r="IA24" s="744"/>
      <c r="IB24" s="744"/>
      <c r="IC24" s="744"/>
      <c r="ID24" s="744"/>
      <c r="IE24" s="745"/>
      <c r="IF24" s="94"/>
      <c r="IG24" s="94"/>
      <c r="IH24" s="94"/>
      <c r="II24" s="95"/>
      <c r="IJ24" s="95"/>
      <c r="IK24" s="95"/>
      <c r="IL24" s="95"/>
      <c r="IM24" s="95"/>
      <c r="IN24" s="95"/>
      <c r="IO24" s="95"/>
    </row>
    <row r="25" spans="2:249" s="99" customFormat="1" ht="55.5" customHeight="1" x14ac:dyDescent="0.25">
      <c r="B25" s="718" t="s">
        <v>130</v>
      </c>
      <c r="C25" s="719"/>
      <c r="D25" s="33"/>
      <c r="E25" s="34"/>
      <c r="F25" s="34"/>
      <c r="G25" s="34"/>
      <c r="H25" s="34"/>
      <c r="I25" s="34"/>
      <c r="J25" s="34"/>
      <c r="K25" s="34"/>
      <c r="L25" s="34"/>
      <c r="M25" s="34"/>
      <c r="N25" s="34"/>
      <c r="O25" s="34"/>
      <c r="P25" s="34"/>
      <c r="Q25" s="33"/>
      <c r="R25" s="34"/>
      <c r="S25" s="34"/>
      <c r="T25" s="33"/>
      <c r="U25" s="33"/>
      <c r="V25" s="33"/>
      <c r="W25" s="33"/>
      <c r="X25" s="33"/>
      <c r="Y25" s="33"/>
      <c r="Z25" s="35" t="e">
        <f t="shared" ref="Z25:AN25" si="51">Z355</f>
        <v>#REF!</v>
      </c>
      <c r="AA25" s="35" t="e">
        <f t="shared" si="51"/>
        <v>#REF!</v>
      </c>
      <c r="AB25" s="35" t="e">
        <f t="shared" si="51"/>
        <v>#REF!</v>
      </c>
      <c r="AC25" s="35" t="e">
        <f t="shared" si="51"/>
        <v>#REF!</v>
      </c>
      <c r="AD25" s="35" t="e">
        <f t="shared" si="51"/>
        <v>#REF!</v>
      </c>
      <c r="AE25" s="35" t="e">
        <f t="shared" si="51"/>
        <v>#REF!</v>
      </c>
      <c r="AF25" s="35" t="e">
        <f t="shared" si="51"/>
        <v>#REF!</v>
      </c>
      <c r="AG25" s="35" t="e">
        <f t="shared" si="51"/>
        <v>#REF!</v>
      </c>
      <c r="AH25" s="35" t="e">
        <f t="shared" si="51"/>
        <v>#REF!</v>
      </c>
      <c r="AI25" s="35" t="e">
        <f t="shared" si="51"/>
        <v>#REF!</v>
      </c>
      <c r="AJ25" s="35" t="e">
        <f t="shared" si="51"/>
        <v>#REF!</v>
      </c>
      <c r="AK25" s="35" t="e">
        <f t="shared" si="51"/>
        <v>#REF!</v>
      </c>
      <c r="AL25" s="35" t="e">
        <f t="shared" si="51"/>
        <v>#REF!</v>
      </c>
      <c r="AM25" s="35" t="e">
        <f t="shared" si="51"/>
        <v>#REF!</v>
      </c>
      <c r="AN25" s="35" t="e">
        <f t="shared" si="51"/>
        <v>#REF!</v>
      </c>
      <c r="AO25" s="36">
        <v>1</v>
      </c>
      <c r="AP25" s="35" t="e">
        <f t="shared" ref="AP25:BJ25" si="52">AP355</f>
        <v>#REF!</v>
      </c>
      <c r="AQ25" s="35" t="e">
        <f t="shared" si="52"/>
        <v>#REF!</v>
      </c>
      <c r="AR25" s="35" t="e">
        <f t="shared" si="52"/>
        <v>#REF!</v>
      </c>
      <c r="AS25" s="35" t="e">
        <f t="shared" si="52"/>
        <v>#REF!</v>
      </c>
      <c r="AT25" s="35" t="e">
        <f t="shared" si="52"/>
        <v>#REF!</v>
      </c>
      <c r="AU25" s="35" t="e">
        <f t="shared" si="52"/>
        <v>#REF!</v>
      </c>
      <c r="AV25" s="35" t="e">
        <f t="shared" si="52"/>
        <v>#REF!</v>
      </c>
      <c r="AW25" s="35" t="e">
        <f t="shared" si="52"/>
        <v>#REF!</v>
      </c>
      <c r="AX25" s="35" t="e">
        <f t="shared" si="52"/>
        <v>#REF!</v>
      </c>
      <c r="AY25" s="35" t="e">
        <f t="shared" si="52"/>
        <v>#REF!</v>
      </c>
      <c r="AZ25" s="35" t="e">
        <f t="shared" si="52"/>
        <v>#REF!</v>
      </c>
      <c r="BA25" s="35" t="e">
        <f t="shared" si="52"/>
        <v>#REF!</v>
      </c>
      <c r="BB25" s="35" t="e">
        <f t="shared" si="52"/>
        <v>#REF!</v>
      </c>
      <c r="BC25" s="35" t="e">
        <f t="shared" si="52"/>
        <v>#REF!</v>
      </c>
      <c r="BD25" s="35" t="e">
        <f t="shared" si="52"/>
        <v>#REF!</v>
      </c>
      <c r="BE25" s="35" t="e">
        <f t="shared" si="52"/>
        <v>#REF!</v>
      </c>
      <c r="BF25" s="35" t="e">
        <f t="shared" si="52"/>
        <v>#REF!</v>
      </c>
      <c r="BG25" s="35" t="e">
        <f t="shared" si="52"/>
        <v>#REF!</v>
      </c>
      <c r="BH25" s="35" t="e">
        <f t="shared" si="52"/>
        <v>#REF!</v>
      </c>
      <c r="BI25" s="35" t="e">
        <f t="shared" si="52"/>
        <v>#REF!</v>
      </c>
      <c r="BJ25" s="35" t="e">
        <f t="shared" si="52"/>
        <v>#REF!</v>
      </c>
      <c r="BK25" s="37">
        <v>1</v>
      </c>
      <c r="BL25" s="35" t="e">
        <f t="shared" ref="BL25:CD25" si="53">BL355</f>
        <v>#REF!</v>
      </c>
      <c r="BM25" s="35" t="e">
        <f t="shared" si="53"/>
        <v>#REF!</v>
      </c>
      <c r="BN25" s="35" t="e">
        <f t="shared" si="53"/>
        <v>#REF!</v>
      </c>
      <c r="BO25" s="35" t="e">
        <f t="shared" si="53"/>
        <v>#REF!</v>
      </c>
      <c r="BP25" s="35" t="e">
        <f t="shared" si="53"/>
        <v>#REF!</v>
      </c>
      <c r="BQ25" s="35" t="e">
        <f t="shared" si="53"/>
        <v>#REF!</v>
      </c>
      <c r="BR25" s="35" t="e">
        <f t="shared" si="53"/>
        <v>#REF!</v>
      </c>
      <c r="BS25" s="35" t="e">
        <f t="shared" si="53"/>
        <v>#REF!</v>
      </c>
      <c r="BT25" s="35" t="e">
        <f t="shared" si="53"/>
        <v>#REF!</v>
      </c>
      <c r="BU25" s="35" t="e">
        <f t="shared" si="53"/>
        <v>#REF!</v>
      </c>
      <c r="BV25" s="35" t="e">
        <f t="shared" si="53"/>
        <v>#REF!</v>
      </c>
      <c r="BW25" s="35" t="e">
        <f t="shared" si="53"/>
        <v>#REF!</v>
      </c>
      <c r="BX25" s="35" t="e">
        <f t="shared" si="53"/>
        <v>#REF!</v>
      </c>
      <c r="BY25" s="35" t="e">
        <f t="shared" si="53"/>
        <v>#REF!</v>
      </c>
      <c r="BZ25" s="35" t="e">
        <f t="shared" si="53"/>
        <v>#REF!</v>
      </c>
      <c r="CA25" s="35" t="e">
        <f t="shared" si="53"/>
        <v>#REF!</v>
      </c>
      <c r="CB25" s="35" t="e">
        <f t="shared" si="53"/>
        <v>#REF!</v>
      </c>
      <c r="CC25" s="35" t="e">
        <f t="shared" si="53"/>
        <v>#REF!</v>
      </c>
      <c r="CD25" s="35" t="e">
        <f t="shared" si="53"/>
        <v>#REF!</v>
      </c>
      <c r="CE25" s="35">
        <v>1</v>
      </c>
      <c r="CF25" s="35" t="e">
        <f>CF355</f>
        <v>#REF!</v>
      </c>
      <c r="CG25" s="35"/>
      <c r="CH25" s="35" t="e">
        <f t="shared" ref="CH25:DM25" si="54">CH355</f>
        <v>#REF!</v>
      </c>
      <c r="CI25" s="35" t="e">
        <f t="shared" si="54"/>
        <v>#REF!</v>
      </c>
      <c r="CJ25" s="35" t="e">
        <f t="shared" si="54"/>
        <v>#REF!</v>
      </c>
      <c r="CK25" s="35" t="e">
        <f t="shared" si="54"/>
        <v>#REF!</v>
      </c>
      <c r="CL25" s="35" t="e">
        <f t="shared" si="54"/>
        <v>#REF!</v>
      </c>
      <c r="CM25" s="35" t="e">
        <f t="shared" si="54"/>
        <v>#REF!</v>
      </c>
      <c r="CN25" s="35">
        <f t="shared" si="54"/>
        <v>0</v>
      </c>
      <c r="CO25" s="35">
        <f t="shared" si="54"/>
        <v>0</v>
      </c>
      <c r="CP25" s="35">
        <f t="shared" si="54"/>
        <v>0</v>
      </c>
      <c r="CQ25" s="35" t="e">
        <f t="shared" si="54"/>
        <v>#REF!</v>
      </c>
      <c r="CR25" s="35" t="e">
        <f t="shared" si="54"/>
        <v>#REF!</v>
      </c>
      <c r="CS25" s="35" t="e">
        <f t="shared" si="54"/>
        <v>#REF!</v>
      </c>
      <c r="CT25" s="35" t="e">
        <f t="shared" si="54"/>
        <v>#REF!</v>
      </c>
      <c r="CU25" s="35" t="e">
        <f t="shared" si="54"/>
        <v>#REF!</v>
      </c>
      <c r="CV25" s="35" t="e">
        <f t="shared" si="54"/>
        <v>#REF!</v>
      </c>
      <c r="CW25" s="38" t="e">
        <f t="shared" si="54"/>
        <v>#REF!</v>
      </c>
      <c r="CX25" s="38" t="e">
        <f t="shared" si="54"/>
        <v>#REF!</v>
      </c>
      <c r="CY25" s="38" t="e">
        <f t="shared" si="54"/>
        <v>#REF!</v>
      </c>
      <c r="CZ25" s="38" t="e">
        <f t="shared" si="54"/>
        <v>#REF!</v>
      </c>
      <c r="DA25" s="38" t="e">
        <f t="shared" si="54"/>
        <v>#REF!</v>
      </c>
      <c r="DB25" s="38" t="e">
        <f t="shared" si="54"/>
        <v>#REF!</v>
      </c>
      <c r="DC25" s="38">
        <f t="shared" si="54"/>
        <v>728505.35064000008</v>
      </c>
      <c r="DD25" s="38">
        <f t="shared" si="54"/>
        <v>348155.35063999996</v>
      </c>
      <c r="DE25" s="38">
        <f t="shared" si="54"/>
        <v>380350</v>
      </c>
      <c r="DF25" s="38" t="e">
        <f t="shared" si="54"/>
        <v>#REF!</v>
      </c>
      <c r="DG25" s="38" t="e">
        <f t="shared" si="54"/>
        <v>#REF!</v>
      </c>
      <c r="DH25" s="38" t="e">
        <f t="shared" si="54"/>
        <v>#REF!</v>
      </c>
      <c r="DI25" s="38" t="e">
        <f t="shared" si="54"/>
        <v>#REF!</v>
      </c>
      <c r="DJ25" s="38" t="e">
        <f t="shared" si="54"/>
        <v>#REF!</v>
      </c>
      <c r="DK25" s="38" t="e">
        <f t="shared" si="54"/>
        <v>#REF!</v>
      </c>
      <c r="DL25" s="38" t="e">
        <f t="shared" si="54"/>
        <v>#REF!</v>
      </c>
      <c r="DM25" s="38" t="e">
        <f t="shared" si="54"/>
        <v>#REF!</v>
      </c>
      <c r="DN25" s="38" t="e">
        <f t="shared" ref="DN25:ES25" si="55">DN355</f>
        <v>#REF!</v>
      </c>
      <c r="DO25" s="38" t="e">
        <f t="shared" si="55"/>
        <v>#REF!</v>
      </c>
      <c r="DP25" s="38" t="e">
        <f t="shared" si="55"/>
        <v>#REF!</v>
      </c>
      <c r="DQ25" s="38" t="e">
        <f t="shared" si="55"/>
        <v>#REF!</v>
      </c>
      <c r="DR25" s="38" t="e">
        <f t="shared" si="55"/>
        <v>#REF!</v>
      </c>
      <c r="DS25" s="38" t="e">
        <f t="shared" si="55"/>
        <v>#REF!</v>
      </c>
      <c r="DT25" s="38" t="e">
        <f t="shared" si="55"/>
        <v>#REF!</v>
      </c>
      <c r="DU25" s="38" t="e">
        <f t="shared" si="55"/>
        <v>#REF!</v>
      </c>
      <c r="DV25" s="38" t="e">
        <f t="shared" si="55"/>
        <v>#REF!</v>
      </c>
      <c r="DW25" s="38" t="e">
        <f t="shared" si="55"/>
        <v>#REF!</v>
      </c>
      <c r="DX25" s="38" t="e">
        <f t="shared" si="55"/>
        <v>#REF!</v>
      </c>
      <c r="DY25" s="38" t="e">
        <f t="shared" si="55"/>
        <v>#REF!</v>
      </c>
      <c r="DZ25" s="38" t="e">
        <f t="shared" si="55"/>
        <v>#REF!</v>
      </c>
      <c r="EA25" s="38">
        <f t="shared" si="55"/>
        <v>1170129.6810599999</v>
      </c>
      <c r="EB25" s="38">
        <f t="shared" si="55"/>
        <v>726987.68105999997</v>
      </c>
      <c r="EC25" s="38">
        <f t="shared" si="55"/>
        <v>443142</v>
      </c>
      <c r="ED25" s="38" t="e">
        <f t="shared" si="55"/>
        <v>#REF!</v>
      </c>
      <c r="EE25" s="38" t="e">
        <f t="shared" si="55"/>
        <v>#REF!</v>
      </c>
      <c r="EF25" s="38" t="e">
        <f t="shared" si="55"/>
        <v>#REF!</v>
      </c>
      <c r="EG25" s="38" t="e">
        <f t="shared" si="55"/>
        <v>#REF!</v>
      </c>
      <c r="EH25" s="38" t="e">
        <f t="shared" si="55"/>
        <v>#REF!</v>
      </c>
      <c r="EI25" s="38">
        <f t="shared" si="55"/>
        <v>639535.67071999994</v>
      </c>
      <c r="EJ25" s="38" t="e">
        <f t="shared" si="55"/>
        <v>#REF!</v>
      </c>
      <c r="EK25" s="38" t="e">
        <f t="shared" si="55"/>
        <v>#REF!</v>
      </c>
      <c r="EL25" s="38" t="e">
        <f t="shared" si="55"/>
        <v>#REF!</v>
      </c>
      <c r="EM25" s="38" t="e">
        <f t="shared" si="55"/>
        <v>#REF!</v>
      </c>
      <c r="EN25" s="38" t="e">
        <f t="shared" si="55"/>
        <v>#REF!</v>
      </c>
      <c r="EO25" s="38" t="e">
        <f t="shared" si="55"/>
        <v>#REF!</v>
      </c>
      <c r="EP25" s="38" t="e">
        <f t="shared" si="55"/>
        <v>#REF!</v>
      </c>
      <c r="EQ25" s="38" t="e">
        <f t="shared" si="55"/>
        <v>#REF!</v>
      </c>
      <c r="ER25" s="38" t="e">
        <f t="shared" si="55"/>
        <v>#REF!</v>
      </c>
      <c r="ES25" s="38" t="e">
        <f t="shared" si="55"/>
        <v>#REF!</v>
      </c>
      <c r="ET25" s="38" t="e">
        <f t="shared" ref="ET25:FR25" si="56">ET355</f>
        <v>#REF!</v>
      </c>
      <c r="EU25" s="38">
        <f t="shared" si="56"/>
        <v>-200912.7696</v>
      </c>
      <c r="EV25" s="38" t="e">
        <f t="shared" si="56"/>
        <v>#REF!</v>
      </c>
      <c r="EW25" s="38" t="e">
        <f t="shared" si="56"/>
        <v>#REF!</v>
      </c>
      <c r="EX25" s="38" t="e">
        <f t="shared" si="56"/>
        <v>#REF!</v>
      </c>
      <c r="EY25" s="38" t="e">
        <f t="shared" si="56"/>
        <v>#REF!</v>
      </c>
      <c r="EZ25" s="38" t="e">
        <f t="shared" si="56"/>
        <v>#REF!</v>
      </c>
      <c r="FA25" s="38" t="e">
        <f t="shared" si="56"/>
        <v>#REF!</v>
      </c>
      <c r="FB25" s="38">
        <f t="shared" si="56"/>
        <v>260607.51318000001</v>
      </c>
      <c r="FC25" s="39">
        <f t="shared" si="56"/>
        <v>18483701.29298</v>
      </c>
      <c r="FD25" s="39">
        <f t="shared" si="56"/>
        <v>16250697.78345</v>
      </c>
      <c r="FE25" s="39">
        <f t="shared" si="56"/>
        <v>438079.28591999999</v>
      </c>
      <c r="FF25" s="39">
        <f t="shared" si="56"/>
        <v>1794924.22361</v>
      </c>
      <c r="FG25" s="39" t="e">
        <f t="shared" si="56"/>
        <v>#REF!</v>
      </c>
      <c r="FH25" s="39" t="e">
        <f t="shared" si="56"/>
        <v>#REF!</v>
      </c>
      <c r="FI25" s="39">
        <f t="shared" si="56"/>
        <v>543.61520000000019</v>
      </c>
      <c r="FJ25" s="39">
        <f t="shared" si="56"/>
        <v>82541.089620000028</v>
      </c>
      <c r="FK25" s="39" t="e">
        <f t="shared" si="56"/>
        <v>#REF!</v>
      </c>
      <c r="FL25" s="39" t="e">
        <f t="shared" si="56"/>
        <v>#REF!</v>
      </c>
      <c r="FM25" s="39" t="e">
        <f t="shared" si="56"/>
        <v>#REF!</v>
      </c>
      <c r="FN25" s="39" t="e">
        <f t="shared" si="56"/>
        <v>#REF!</v>
      </c>
      <c r="FO25" s="39">
        <f t="shared" si="56"/>
        <v>14546578.735640001</v>
      </c>
      <c r="FP25" s="39">
        <f t="shared" si="56"/>
        <v>12352111.25093</v>
      </c>
      <c r="FQ25" s="39">
        <f t="shared" si="56"/>
        <v>438622.90111999999</v>
      </c>
      <c r="FR25" s="39">
        <f t="shared" si="56"/>
        <v>1755844.5835900002</v>
      </c>
      <c r="FS25" s="39">
        <f t="shared" ref="FS25:FS76" si="57">FU25+FW25+FY25</f>
        <v>10776617.849850001</v>
      </c>
      <c r="FT25" s="485">
        <f t="shared" si="7"/>
        <v>0.58303354285123055</v>
      </c>
      <c r="FU25" s="39">
        <f>FU355</f>
        <v>9880963.3290199991</v>
      </c>
      <c r="FV25" s="485">
        <f>FU25/FD25</f>
        <v>0.60803317252524058</v>
      </c>
      <c r="FW25" s="39">
        <f>FW355</f>
        <v>276081.24210999999</v>
      </c>
      <c r="FX25" s="485">
        <f>FW25/FE25</f>
        <v>0.63020839145637364</v>
      </c>
      <c r="FY25" s="39">
        <f>FY355</f>
        <v>619573.27872000006</v>
      </c>
      <c r="FZ25" s="485">
        <f>FY25/FF25</f>
        <v>0.3451807438833811</v>
      </c>
      <c r="GA25" s="39">
        <f>GC25+GE25+GG25</f>
        <v>10147679.173430001</v>
      </c>
      <c r="GB25" s="485">
        <f>GA25/FC25</f>
        <v>0.54900687976839513</v>
      </c>
      <c r="GC25" s="39">
        <f>GC355</f>
        <v>9296422.6217200011</v>
      </c>
      <c r="GD25" s="485">
        <f>GC25/FD25</f>
        <v>0.57206298127011157</v>
      </c>
      <c r="GE25" s="39">
        <f>GE355</f>
        <v>231683.27299</v>
      </c>
      <c r="GF25" s="485">
        <f>GE25/FE25</f>
        <v>0.52886151077298127</v>
      </c>
      <c r="GG25" s="39">
        <f>GG355</f>
        <v>619573.27872000006</v>
      </c>
      <c r="GH25" s="485">
        <f>GG25/FF25</f>
        <v>0.3451807438833811</v>
      </c>
      <c r="GI25" s="39">
        <f>GI355</f>
        <v>15553533.696899999</v>
      </c>
      <c r="GJ25" s="485">
        <f>GI25/FC25</f>
        <v>0.84147289822342775</v>
      </c>
      <c r="GK25" s="39">
        <f>GK355</f>
        <v>13462327.226099998</v>
      </c>
      <c r="GL25" s="485">
        <f>GK25/FD25</f>
        <v>0.82841533363633602</v>
      </c>
      <c r="GM25" s="39">
        <f>GM355</f>
        <v>305188.26696000004</v>
      </c>
      <c r="GN25" s="485">
        <f>GM25/FE25</f>
        <v>0.69665075882116034</v>
      </c>
      <c r="GO25" s="39">
        <f>GO355</f>
        <v>1786018.2038400001</v>
      </c>
      <c r="GP25" s="485">
        <f>GO25/FF25</f>
        <v>0.99503821963464956</v>
      </c>
      <c r="GQ25" s="38"/>
      <c r="GR25" s="38"/>
      <c r="GS25" s="38"/>
      <c r="GT25" s="38"/>
      <c r="GU25" s="38" t="e">
        <f>GU355</f>
        <v>#REF!</v>
      </c>
      <c r="GV25" s="38" t="e">
        <f>GV355</f>
        <v>#REF!</v>
      </c>
      <c r="GW25" s="38">
        <f>GW355</f>
        <v>680085.67045999994</v>
      </c>
      <c r="GX25" s="38" t="e">
        <f>GX355</f>
        <v>#REF!</v>
      </c>
      <c r="GY25" s="38"/>
      <c r="GZ25" s="38"/>
      <c r="HA25" s="38"/>
      <c r="HB25" s="38"/>
      <c r="HC25" s="38"/>
      <c r="HD25" s="38"/>
      <c r="HE25" s="38"/>
      <c r="HF25" s="38"/>
      <c r="HG25" s="38" t="e">
        <f t="shared" ref="HG25:ID27" si="58">HG355</f>
        <v>#REF!</v>
      </c>
      <c r="HH25" s="38" t="e">
        <f t="shared" si="58"/>
        <v>#REF!</v>
      </c>
      <c r="HI25" s="38">
        <f t="shared" si="58"/>
        <v>0</v>
      </c>
      <c r="HJ25" s="38" t="e">
        <f t="shared" si="58"/>
        <v>#REF!</v>
      </c>
      <c r="HK25" s="38" t="e">
        <f t="shared" si="58"/>
        <v>#REF!</v>
      </c>
      <c r="HL25" s="38" t="e">
        <f t="shared" si="58"/>
        <v>#REF!</v>
      </c>
      <c r="HM25" s="38">
        <f t="shared" si="58"/>
        <v>0</v>
      </c>
      <c r="HN25" s="38" t="e">
        <f t="shared" si="58"/>
        <v>#REF!</v>
      </c>
      <c r="HO25" s="38" t="e">
        <f>HP25+HQ25+HR25</f>
        <v>#REF!</v>
      </c>
      <c r="HP25" s="38" t="e">
        <f t="shared" si="58"/>
        <v>#REF!</v>
      </c>
      <c r="HQ25" s="38">
        <f t="shared" si="58"/>
        <v>680085.67045999994</v>
      </c>
      <c r="HR25" s="38">
        <f t="shared" si="58"/>
        <v>1448166.17875</v>
      </c>
      <c r="HS25" s="38" t="e">
        <f t="shared" si="58"/>
        <v>#REF!</v>
      </c>
      <c r="HT25" s="38" t="e">
        <f t="shared" si="58"/>
        <v>#REF!</v>
      </c>
      <c r="HU25" s="38">
        <f t="shared" si="58"/>
        <v>876341.19415</v>
      </c>
      <c r="HV25" s="38" t="e">
        <f t="shared" si="58"/>
        <v>#REF!</v>
      </c>
      <c r="HW25" s="38" t="e">
        <f t="shared" si="58"/>
        <v>#REF!</v>
      </c>
      <c r="HX25" s="38" t="e">
        <f t="shared" si="58"/>
        <v>#REF!</v>
      </c>
      <c r="HY25" s="38">
        <f t="shared" si="58"/>
        <v>0</v>
      </c>
      <c r="HZ25" s="38" t="e">
        <f t="shared" si="58"/>
        <v>#REF!</v>
      </c>
      <c r="IA25" s="38" t="e">
        <f t="shared" si="58"/>
        <v>#REF!</v>
      </c>
      <c r="IB25" s="38" t="e">
        <f t="shared" si="58"/>
        <v>#REF!</v>
      </c>
      <c r="IC25" s="38">
        <f t="shared" si="58"/>
        <v>876341.19415</v>
      </c>
      <c r="ID25" s="38" t="e">
        <f t="shared" si="58"/>
        <v>#REF!</v>
      </c>
      <c r="IE25" s="97"/>
      <c r="IF25" s="41"/>
      <c r="IG25" s="41"/>
      <c r="IH25" s="41"/>
      <c r="II25" s="98"/>
      <c r="IJ25" s="98"/>
      <c r="IK25" s="98"/>
      <c r="IL25" s="98"/>
      <c r="IM25" s="98"/>
      <c r="IN25" s="98"/>
      <c r="IO25" s="98"/>
    </row>
    <row r="26" spans="2:249" s="114" customFormat="1" ht="41.25" customHeight="1" x14ac:dyDescent="0.25">
      <c r="B26" s="100"/>
      <c r="C26" s="101" t="s">
        <v>131</v>
      </c>
      <c r="D26" s="102"/>
      <c r="E26" s="103"/>
      <c r="F26" s="104"/>
      <c r="G26" s="104"/>
      <c r="H26" s="103"/>
      <c r="I26" s="104"/>
      <c r="J26" s="104"/>
      <c r="K26" s="103"/>
      <c r="L26" s="104"/>
      <c r="M26" s="104"/>
      <c r="N26" s="103"/>
      <c r="O26" s="104"/>
      <c r="P26" s="104"/>
      <c r="Q26" s="105"/>
      <c r="R26" s="106"/>
      <c r="S26" s="106"/>
      <c r="T26" s="105"/>
      <c r="U26" s="106"/>
      <c r="V26" s="106"/>
      <c r="W26" s="105"/>
      <c r="X26" s="106"/>
      <c r="Y26" s="106"/>
      <c r="Z26" s="105"/>
      <c r="AA26" s="106"/>
      <c r="AB26" s="106"/>
      <c r="AC26" s="106"/>
      <c r="AD26" s="106"/>
      <c r="AE26" s="106"/>
      <c r="AF26" s="106"/>
      <c r="AG26" s="106"/>
      <c r="AH26" s="106"/>
      <c r="AI26" s="106"/>
      <c r="AJ26" s="106"/>
      <c r="AK26" s="106"/>
      <c r="AL26" s="106"/>
      <c r="AM26" s="107"/>
      <c r="AN26" s="108"/>
      <c r="AO26" s="109"/>
      <c r="AP26" s="106"/>
      <c r="AQ26" s="106"/>
      <c r="AR26" s="106"/>
      <c r="AS26" s="105"/>
      <c r="AT26" s="106"/>
      <c r="AU26" s="106"/>
      <c r="AV26" s="105"/>
      <c r="AW26" s="106"/>
      <c r="AX26" s="106"/>
      <c r="AY26" s="105"/>
      <c r="AZ26" s="106"/>
      <c r="BA26" s="106"/>
      <c r="BB26" s="105"/>
      <c r="BC26" s="106"/>
      <c r="BD26" s="106"/>
      <c r="BE26" s="105"/>
      <c r="BF26" s="106"/>
      <c r="BG26" s="106"/>
      <c r="BH26" s="105"/>
      <c r="BI26" s="106"/>
      <c r="BJ26" s="106"/>
      <c r="BK26" s="110"/>
      <c r="BL26" s="106"/>
      <c r="BM26" s="106"/>
      <c r="BN26" s="106"/>
      <c r="BO26" s="106"/>
      <c r="BP26" s="106"/>
      <c r="BQ26" s="106"/>
      <c r="BR26" s="106"/>
      <c r="BS26" s="106"/>
      <c r="BT26" s="106"/>
      <c r="BU26" s="106"/>
      <c r="BV26" s="105"/>
      <c r="BW26" s="106"/>
      <c r="BX26" s="106"/>
      <c r="BY26" s="105"/>
      <c r="BZ26" s="106"/>
      <c r="CA26" s="106"/>
      <c r="CB26" s="105"/>
      <c r="CC26" s="106"/>
      <c r="CD26" s="106"/>
      <c r="CE26" s="106"/>
      <c r="CF26" s="106"/>
      <c r="CG26" s="111"/>
      <c r="CH26" s="105"/>
      <c r="CI26" s="106"/>
      <c r="CJ26" s="106"/>
      <c r="CK26" s="105"/>
      <c r="CL26" s="106"/>
      <c r="CM26" s="106"/>
      <c r="CN26" s="106"/>
      <c r="CO26" s="106"/>
      <c r="CP26" s="106"/>
      <c r="CQ26" s="105"/>
      <c r="CR26" s="106"/>
      <c r="CS26" s="106"/>
      <c r="CT26" s="105"/>
      <c r="CU26" s="106"/>
      <c r="CV26" s="106"/>
      <c r="CW26" s="105"/>
      <c r="CX26" s="106"/>
      <c r="CY26" s="106"/>
      <c r="CZ26" s="105"/>
      <c r="DA26" s="106"/>
      <c r="DB26" s="106"/>
      <c r="DC26" s="106"/>
      <c r="DD26" s="106"/>
      <c r="DE26" s="106"/>
      <c r="DF26" s="105"/>
      <c r="DG26" s="106"/>
      <c r="DH26" s="106"/>
      <c r="DI26" s="105"/>
      <c r="DJ26" s="106"/>
      <c r="DK26" s="106"/>
      <c r="DL26" s="105"/>
      <c r="DM26" s="106"/>
      <c r="DN26" s="106"/>
      <c r="DO26" s="105"/>
      <c r="DP26" s="106"/>
      <c r="DQ26" s="106"/>
      <c r="DR26" s="105"/>
      <c r="DS26" s="106"/>
      <c r="DT26" s="106"/>
      <c r="DU26" s="105"/>
      <c r="DV26" s="106"/>
      <c r="DW26" s="106"/>
      <c r="DX26" s="105"/>
      <c r="DY26" s="106"/>
      <c r="DZ26" s="106"/>
      <c r="EA26" s="106"/>
      <c r="EB26" s="106"/>
      <c r="EC26" s="106"/>
      <c r="ED26" s="105"/>
      <c r="EE26" s="106"/>
      <c r="EF26" s="106"/>
      <c r="EG26" s="106" t="e">
        <f>EH26+EI26+EJ26</f>
        <v>#REF!</v>
      </c>
      <c r="EH26" s="106" t="e">
        <f t="shared" ref="EH26:EJ27" si="59">EH356</f>
        <v>#REF!</v>
      </c>
      <c r="EI26" s="106">
        <f t="shared" si="59"/>
        <v>639535.67071999994</v>
      </c>
      <c r="EJ26" s="106" t="e">
        <f t="shared" si="59"/>
        <v>#REF!</v>
      </c>
      <c r="EK26" s="106" t="e">
        <f>EL26+EM26+EN26</f>
        <v>#REF!</v>
      </c>
      <c r="EL26" s="106" t="e">
        <f t="shared" ref="EL26:EN27" si="60">EL356</f>
        <v>#REF!</v>
      </c>
      <c r="EM26" s="106" t="e">
        <f t="shared" si="60"/>
        <v>#REF!</v>
      </c>
      <c r="EN26" s="106" t="e">
        <f t="shared" si="60"/>
        <v>#REF!</v>
      </c>
      <c r="EO26" s="105"/>
      <c r="EP26" s="106"/>
      <c r="EQ26" s="106"/>
      <c r="ER26" s="106"/>
      <c r="ES26" s="106" t="e">
        <f>ET26+EU26+EV26</f>
        <v>#REF!</v>
      </c>
      <c r="ET26" s="106" t="e">
        <f t="shared" ref="ET26:EV27" si="61">ET356</f>
        <v>#REF!</v>
      </c>
      <c r="EU26" s="106">
        <f t="shared" si="61"/>
        <v>-200912.7696</v>
      </c>
      <c r="EV26" s="106" t="e">
        <f t="shared" si="61"/>
        <v>#REF!</v>
      </c>
      <c r="EW26" s="105"/>
      <c r="EX26" s="106"/>
      <c r="EY26" s="106"/>
      <c r="EZ26" s="105"/>
      <c r="FA26" s="106"/>
      <c r="FB26" s="106"/>
      <c r="FC26" s="104">
        <f>FD26+FE26+FF26</f>
        <v>14333701.29298</v>
      </c>
      <c r="FD26" s="104">
        <f t="shared" ref="FD26:FF27" si="62">FD356</f>
        <v>12154009.725450002</v>
      </c>
      <c r="FE26" s="104">
        <f t="shared" si="62"/>
        <v>438079.28591999999</v>
      </c>
      <c r="FF26" s="104">
        <f t="shared" si="62"/>
        <v>1741612.2816099999</v>
      </c>
      <c r="FG26" s="104" t="e">
        <f>FH26+FI26+FJ26</f>
        <v>#REF!</v>
      </c>
      <c r="FH26" s="104" t="e">
        <f t="shared" ref="FH26:FJ27" si="63">FH356</f>
        <v>#REF!</v>
      </c>
      <c r="FI26" s="104">
        <f t="shared" si="63"/>
        <v>543.61520000000019</v>
      </c>
      <c r="FJ26" s="104">
        <f t="shared" si="63"/>
        <v>29229.147620000025</v>
      </c>
      <c r="FK26" s="103"/>
      <c r="FL26" s="104"/>
      <c r="FM26" s="104"/>
      <c r="FN26" s="104"/>
      <c r="FO26" s="104">
        <f>FP26+FQ26+FR26</f>
        <v>11696578.735640001</v>
      </c>
      <c r="FP26" s="104">
        <f t="shared" ref="FP26:FR27" si="64">FP356</f>
        <v>9555423.1929300018</v>
      </c>
      <c r="FQ26" s="104">
        <f t="shared" si="64"/>
        <v>438622.90111999999</v>
      </c>
      <c r="FR26" s="104">
        <f t="shared" si="64"/>
        <v>1702532.6415900001</v>
      </c>
      <c r="FS26" s="104">
        <f t="shared" si="57"/>
        <v>7681814.7737100003</v>
      </c>
      <c r="FT26" s="485">
        <f t="shared" si="7"/>
        <v>0.53592680750729793</v>
      </c>
      <c r="FU26" s="104">
        <f t="shared" ref="FU26" si="65">FU356</f>
        <v>6786160.2528800005</v>
      </c>
      <c r="FV26" s="485">
        <f>FU26/FD26</f>
        <v>0.55834744303931705</v>
      </c>
      <c r="FW26" s="104">
        <f>FW356</f>
        <v>276081.24210999999</v>
      </c>
      <c r="FX26" s="485">
        <f>FW26/FE26</f>
        <v>0.63020839145637364</v>
      </c>
      <c r="FY26" s="104">
        <f>FY356</f>
        <v>619573.27872000006</v>
      </c>
      <c r="FZ26" s="485">
        <f>FY26/FF26</f>
        <v>0.35574696231887354</v>
      </c>
      <c r="GA26" s="104">
        <f>GC26+GE26+GG26</f>
        <v>7263089.7150300015</v>
      </c>
      <c r="GB26" s="519">
        <f>GA26/FC26</f>
        <v>0.50671418125527246</v>
      </c>
      <c r="GC26" s="104">
        <f t="shared" ref="GC26:GC27" si="66">GC356</f>
        <v>6411833.1633200012</v>
      </c>
      <c r="GD26" s="519">
        <f>GC26/FD26</f>
        <v>0.52754879320969139</v>
      </c>
      <c r="GE26" s="104">
        <f>GE356</f>
        <v>231683.27299</v>
      </c>
      <c r="GF26" s="519">
        <f>GE26/FE26</f>
        <v>0.52886151077298127</v>
      </c>
      <c r="GG26" s="104">
        <f>GG356</f>
        <v>619573.27872000006</v>
      </c>
      <c r="GH26" s="519">
        <f>GG26/FF26</f>
        <v>0.35574696231887354</v>
      </c>
      <c r="GI26" s="104">
        <f>GK26+GM26+GO26</f>
        <v>11843594.473410001</v>
      </c>
      <c r="GJ26" s="519">
        <f>GI26/FC26</f>
        <v>0.82627607701092942</v>
      </c>
      <c r="GK26" s="104">
        <f t="shared" ref="GK26:GK27" si="67">GK356</f>
        <v>9802981.4816100001</v>
      </c>
      <c r="GL26" s="519">
        <f>GK26/FD26</f>
        <v>0.80656357062829698</v>
      </c>
      <c r="GM26" s="104">
        <f>GM356</f>
        <v>305188.26696000004</v>
      </c>
      <c r="GN26" s="519">
        <f>GM26/FE26</f>
        <v>0.69665075882116034</v>
      </c>
      <c r="GO26" s="104">
        <f>GO356</f>
        <v>1735424.7248400003</v>
      </c>
      <c r="GP26" s="519">
        <f>GO26/FF26</f>
        <v>0.99644722488734416</v>
      </c>
      <c r="GQ26" s="106"/>
      <c r="GR26" s="106"/>
      <c r="GS26" s="106"/>
      <c r="GT26" s="106"/>
      <c r="GU26" s="106" t="e">
        <f>GV26+GW26+GX26</f>
        <v>#REF!</v>
      </c>
      <c r="GV26" s="106" t="e">
        <f t="shared" ref="GV26:GX27" si="68">GV356</f>
        <v>#REF!</v>
      </c>
      <c r="GW26" s="106">
        <f t="shared" si="68"/>
        <v>680085.67045999994</v>
      </c>
      <c r="GX26" s="106" t="e">
        <f t="shared" si="68"/>
        <v>#REF!</v>
      </c>
      <c r="GY26" s="106"/>
      <c r="GZ26" s="106"/>
      <c r="HA26" s="106"/>
      <c r="HB26" s="106"/>
      <c r="HC26" s="106"/>
      <c r="HD26" s="106"/>
      <c r="HE26" s="106"/>
      <c r="HF26" s="106"/>
      <c r="HG26" s="106" t="e">
        <f>HH26+HI26+HJ26</f>
        <v>#REF!</v>
      </c>
      <c r="HH26" s="106" t="e">
        <f>HH356</f>
        <v>#REF!</v>
      </c>
      <c r="HI26" s="106">
        <f t="shared" si="58"/>
        <v>0</v>
      </c>
      <c r="HJ26" s="106" t="e">
        <f t="shared" si="58"/>
        <v>#REF!</v>
      </c>
      <c r="HK26" s="106" t="e">
        <f>HL26+HM26+HN26</f>
        <v>#REF!</v>
      </c>
      <c r="HL26" s="106" t="e">
        <f>HL356</f>
        <v>#REF!</v>
      </c>
      <c r="HM26" s="106">
        <f t="shared" si="58"/>
        <v>0</v>
      </c>
      <c r="HN26" s="106" t="e">
        <f t="shared" si="58"/>
        <v>#REF!</v>
      </c>
      <c r="HO26" s="106" t="e">
        <f>HP26+HQ26+HR26</f>
        <v>#REF!</v>
      </c>
      <c r="HP26" s="106" t="e">
        <f>HP356</f>
        <v>#REF!</v>
      </c>
      <c r="HQ26" s="106">
        <f t="shared" si="58"/>
        <v>680085.67045999994</v>
      </c>
      <c r="HR26" s="106">
        <f t="shared" si="58"/>
        <v>1448166.17875</v>
      </c>
      <c r="HS26" s="106" t="e">
        <f>HT26+HU26+HV26</f>
        <v>#REF!</v>
      </c>
      <c r="HT26" s="106" t="e">
        <f>HT356</f>
        <v>#REF!</v>
      </c>
      <c r="HU26" s="106">
        <f t="shared" si="58"/>
        <v>876341.19415</v>
      </c>
      <c r="HV26" s="106" t="e">
        <f t="shared" si="58"/>
        <v>#REF!</v>
      </c>
      <c r="HW26" s="106" t="e">
        <f>HX26+HY26+HZ26</f>
        <v>#REF!</v>
      </c>
      <c r="HX26" s="106" t="e">
        <f>HX356</f>
        <v>#REF!</v>
      </c>
      <c r="HY26" s="106">
        <f t="shared" si="58"/>
        <v>0</v>
      </c>
      <c r="HZ26" s="106" t="e">
        <f t="shared" si="58"/>
        <v>#REF!</v>
      </c>
      <c r="IA26" s="106" t="e">
        <f>IB26+IC26+ID26</f>
        <v>#REF!</v>
      </c>
      <c r="IB26" s="106" t="e">
        <f>IB356</f>
        <v>#REF!</v>
      </c>
      <c r="IC26" s="106">
        <f t="shared" si="58"/>
        <v>876341.19415</v>
      </c>
      <c r="ID26" s="106" t="e">
        <f t="shared" si="58"/>
        <v>#REF!</v>
      </c>
      <c r="IE26" s="112"/>
      <c r="IF26" s="113"/>
      <c r="IG26" s="113"/>
      <c r="IH26" s="113"/>
    </row>
    <row r="27" spans="2:249" s="127" customFormat="1" ht="54.75" customHeight="1" x14ac:dyDescent="0.25">
      <c r="B27" s="115"/>
      <c r="C27" s="116" t="s">
        <v>132</v>
      </c>
      <c r="D27" s="117"/>
      <c r="E27" s="118"/>
      <c r="F27" s="118"/>
      <c r="G27" s="118"/>
      <c r="H27" s="118"/>
      <c r="I27" s="118"/>
      <c r="J27" s="118"/>
      <c r="K27" s="118"/>
      <c r="L27" s="118"/>
      <c r="M27" s="118"/>
      <c r="N27" s="118"/>
      <c r="O27" s="118"/>
      <c r="P27" s="118"/>
      <c r="Q27" s="119"/>
      <c r="R27" s="119"/>
      <c r="S27" s="119"/>
      <c r="T27" s="119"/>
      <c r="U27" s="119"/>
      <c r="V27" s="119"/>
      <c r="W27" s="119"/>
      <c r="X27" s="119"/>
      <c r="Y27" s="119"/>
      <c r="Z27" s="119"/>
      <c r="AA27" s="119"/>
      <c r="AB27" s="119"/>
      <c r="AC27" s="119"/>
      <c r="AD27" s="119"/>
      <c r="AE27" s="119"/>
      <c r="AF27" s="119"/>
      <c r="AG27" s="119"/>
      <c r="AH27" s="119"/>
      <c r="AI27" s="120"/>
      <c r="AJ27" s="119"/>
      <c r="AK27" s="119"/>
      <c r="AL27" s="119"/>
      <c r="AM27" s="121"/>
      <c r="AN27" s="119"/>
      <c r="AO27" s="122"/>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23"/>
      <c r="BL27" s="124"/>
      <c r="BM27" s="124"/>
      <c r="BN27" s="124"/>
      <c r="BO27" s="124"/>
      <c r="BP27" s="124"/>
      <c r="BQ27" s="124"/>
      <c r="BR27" s="124"/>
      <c r="BS27" s="124"/>
      <c r="BT27" s="124"/>
      <c r="BU27" s="124"/>
      <c r="BV27" s="119"/>
      <c r="BW27" s="119"/>
      <c r="BX27" s="119"/>
      <c r="BY27" s="119"/>
      <c r="BZ27" s="119"/>
      <c r="CA27" s="119"/>
      <c r="CB27" s="119"/>
      <c r="CC27" s="119"/>
      <c r="CD27" s="119"/>
      <c r="CE27" s="124"/>
      <c r="CF27" s="124"/>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f>EH27+EI27+EJ27</f>
        <v>2700000</v>
      </c>
      <c r="EH27" s="119">
        <f t="shared" si="59"/>
        <v>2700000</v>
      </c>
      <c r="EI27" s="119">
        <f t="shared" si="59"/>
        <v>0</v>
      </c>
      <c r="EJ27" s="119">
        <f t="shared" si="59"/>
        <v>0</v>
      </c>
      <c r="EK27" s="119">
        <f>EL27+EM27+EN27</f>
        <v>0</v>
      </c>
      <c r="EL27" s="119">
        <f t="shared" si="60"/>
        <v>0</v>
      </c>
      <c r="EM27" s="119">
        <f t="shared" si="60"/>
        <v>0</v>
      </c>
      <c r="EN27" s="119">
        <f t="shared" si="60"/>
        <v>0</v>
      </c>
      <c r="EO27" s="119"/>
      <c r="EP27" s="119"/>
      <c r="EQ27" s="119"/>
      <c r="ER27" s="119"/>
      <c r="ES27" s="119">
        <f>ET27+EU27+EV27</f>
        <v>0</v>
      </c>
      <c r="ET27" s="119">
        <f t="shared" si="61"/>
        <v>0</v>
      </c>
      <c r="EU27" s="119">
        <f t="shared" si="61"/>
        <v>0</v>
      </c>
      <c r="EV27" s="119">
        <f t="shared" si="61"/>
        <v>0</v>
      </c>
      <c r="EW27" s="119"/>
      <c r="EX27" s="119"/>
      <c r="EY27" s="119"/>
      <c r="EZ27" s="119"/>
      <c r="FA27" s="119"/>
      <c r="FB27" s="119"/>
      <c r="FC27" s="118">
        <f>FD27+FE27+FF27</f>
        <v>4150000</v>
      </c>
      <c r="FD27" s="118">
        <f t="shared" si="62"/>
        <v>4096688.0580000002</v>
      </c>
      <c r="FE27" s="118">
        <f t="shared" si="62"/>
        <v>0</v>
      </c>
      <c r="FF27" s="118">
        <f t="shared" si="62"/>
        <v>53311.942000000003</v>
      </c>
      <c r="FG27" s="118">
        <f>FH27+FI27+FJ27</f>
        <v>-46688.057999999997</v>
      </c>
      <c r="FH27" s="118">
        <f t="shared" si="63"/>
        <v>-100000</v>
      </c>
      <c r="FI27" s="118">
        <f t="shared" si="63"/>
        <v>0</v>
      </c>
      <c r="FJ27" s="118">
        <f t="shared" si="63"/>
        <v>53311.942000000003</v>
      </c>
      <c r="FK27" s="118"/>
      <c r="FL27" s="118"/>
      <c r="FM27" s="118"/>
      <c r="FN27" s="118"/>
      <c r="FO27" s="118">
        <f>FP27+FQ27+FR27</f>
        <v>2850000</v>
      </c>
      <c r="FP27" s="118">
        <f t="shared" si="64"/>
        <v>2796688.0580000002</v>
      </c>
      <c r="FQ27" s="118">
        <f t="shared" si="64"/>
        <v>0</v>
      </c>
      <c r="FR27" s="118">
        <f t="shared" si="64"/>
        <v>53311.942000000003</v>
      </c>
      <c r="FS27" s="118">
        <f t="shared" si="57"/>
        <v>3094803.07614</v>
      </c>
      <c r="FT27" s="487">
        <f t="shared" si="7"/>
        <v>0.74573568099759036</v>
      </c>
      <c r="FU27" s="118">
        <f t="shared" ref="FU27" si="69">FU357</f>
        <v>3094803.07614</v>
      </c>
      <c r="FV27" s="487">
        <f>FU27/FD27</f>
        <v>0.75544025620805511</v>
      </c>
      <c r="FW27" s="118">
        <f>FW357</f>
        <v>0</v>
      </c>
      <c r="FX27" s="487">
        <v>0</v>
      </c>
      <c r="FY27" s="118">
        <f>FY357</f>
        <v>0</v>
      </c>
      <c r="FZ27" s="487">
        <f>FY27/FF27</f>
        <v>0</v>
      </c>
      <c r="GA27" s="118">
        <f>GC27+GE27+GG27</f>
        <v>2884589.4583999999</v>
      </c>
      <c r="GB27" s="520">
        <f>GA27/FC27</f>
        <v>0.69508179720481922</v>
      </c>
      <c r="GC27" s="118">
        <f t="shared" si="66"/>
        <v>2884589.4583999999</v>
      </c>
      <c r="GD27" s="520">
        <f>GC27/FD27</f>
        <v>0.70412719190737072</v>
      </c>
      <c r="GE27" s="118">
        <f>GE357</f>
        <v>0</v>
      </c>
      <c r="GF27" s="520">
        <v>0</v>
      </c>
      <c r="GG27" s="118">
        <f>GG357</f>
        <v>0</v>
      </c>
      <c r="GH27" s="520">
        <v>0</v>
      </c>
      <c r="GI27" s="118">
        <f>GK27+GM27+GO27</f>
        <v>3709939.2234899998</v>
      </c>
      <c r="GJ27" s="520">
        <f>GI27/FC27</f>
        <v>0.89396125867228915</v>
      </c>
      <c r="GK27" s="118">
        <f t="shared" si="67"/>
        <v>3659345.74449</v>
      </c>
      <c r="GL27" s="520">
        <f>GK27/FD27</f>
        <v>0.89324490727187311</v>
      </c>
      <c r="GM27" s="118">
        <f>GM357</f>
        <v>0</v>
      </c>
      <c r="GN27" s="520">
        <v>0</v>
      </c>
      <c r="GO27" s="118">
        <f>GO357</f>
        <v>50593.478999999999</v>
      </c>
      <c r="GP27" s="520">
        <f>GO27/FF27</f>
        <v>0.94900836664325594</v>
      </c>
      <c r="GQ27" s="119"/>
      <c r="GR27" s="119"/>
      <c r="GS27" s="119"/>
      <c r="GT27" s="119"/>
      <c r="GU27" s="119">
        <f>GV27+GW27+GX27</f>
        <v>2700000</v>
      </c>
      <c r="GV27" s="119">
        <f t="shared" si="68"/>
        <v>2700000</v>
      </c>
      <c r="GW27" s="119">
        <f t="shared" si="68"/>
        <v>0</v>
      </c>
      <c r="GX27" s="119">
        <f t="shared" si="68"/>
        <v>0</v>
      </c>
      <c r="GY27" s="119"/>
      <c r="GZ27" s="119"/>
      <c r="HA27" s="119"/>
      <c r="HB27" s="119"/>
      <c r="HC27" s="119"/>
      <c r="HD27" s="119"/>
      <c r="HE27" s="119"/>
      <c r="HF27" s="119"/>
      <c r="HG27" s="119">
        <f>HH27+HI27+HJ27</f>
        <v>-983000</v>
      </c>
      <c r="HH27" s="119">
        <f>HH357</f>
        <v>-983000</v>
      </c>
      <c r="HI27" s="119">
        <f t="shared" si="58"/>
        <v>0</v>
      </c>
      <c r="HJ27" s="119">
        <f t="shared" si="58"/>
        <v>0</v>
      </c>
      <c r="HK27" s="119">
        <v>0</v>
      </c>
      <c r="HL27" s="119">
        <v>0</v>
      </c>
      <c r="HM27" s="119">
        <v>0</v>
      </c>
      <c r="HN27" s="119">
        <v>0</v>
      </c>
      <c r="HO27" s="119">
        <f>HP27+HQ27+HR27</f>
        <v>1717000</v>
      </c>
      <c r="HP27" s="119">
        <f>HP357</f>
        <v>1717000</v>
      </c>
      <c r="HQ27" s="119">
        <f t="shared" si="58"/>
        <v>0</v>
      </c>
      <c r="HR27" s="119">
        <f t="shared" si="58"/>
        <v>0</v>
      </c>
      <c r="HS27" s="119">
        <f>HT27+HU27+HV27</f>
        <v>0</v>
      </c>
      <c r="HT27" s="119">
        <f>HT357</f>
        <v>0</v>
      </c>
      <c r="HU27" s="119">
        <f t="shared" si="58"/>
        <v>0</v>
      </c>
      <c r="HV27" s="119">
        <f t="shared" si="58"/>
        <v>0</v>
      </c>
      <c r="HW27" s="119">
        <f>HX27+HY27+HZ27</f>
        <v>2152470</v>
      </c>
      <c r="HX27" s="119">
        <f>HX357</f>
        <v>2152470</v>
      </c>
      <c r="HY27" s="119">
        <v>0</v>
      </c>
      <c r="HZ27" s="119">
        <v>0</v>
      </c>
      <c r="IA27" s="119">
        <f>IB27+IC27+ID27</f>
        <v>2152470</v>
      </c>
      <c r="IB27" s="119">
        <f>IB357</f>
        <v>2152470</v>
      </c>
      <c r="IC27" s="119">
        <f t="shared" si="58"/>
        <v>0</v>
      </c>
      <c r="ID27" s="119">
        <f t="shared" si="58"/>
        <v>0</v>
      </c>
      <c r="IE27" s="125"/>
      <c r="IF27" s="126"/>
      <c r="IG27" s="126"/>
      <c r="IH27" s="126"/>
    </row>
    <row r="28" spans="2:249" s="536" customFormat="1" ht="79.5" hidden="1" customHeight="1" x14ac:dyDescent="0.25">
      <c r="B28" s="537"/>
      <c r="C28" s="740" t="s">
        <v>477</v>
      </c>
      <c r="D28" s="741"/>
      <c r="E28" s="538"/>
      <c r="F28" s="538"/>
      <c r="G28" s="538"/>
      <c r="H28" s="538"/>
      <c r="I28" s="538"/>
      <c r="J28" s="538"/>
      <c r="K28" s="538"/>
      <c r="L28" s="538"/>
      <c r="M28" s="538"/>
      <c r="N28" s="538"/>
      <c r="O28" s="538"/>
      <c r="P28" s="538"/>
      <c r="Q28" s="539"/>
      <c r="R28" s="539"/>
      <c r="S28" s="539"/>
      <c r="T28" s="539"/>
      <c r="U28" s="539"/>
      <c r="V28" s="539"/>
      <c r="W28" s="539"/>
      <c r="X28" s="539"/>
      <c r="Y28" s="539"/>
      <c r="Z28" s="539"/>
      <c r="AA28" s="539"/>
      <c r="AB28" s="539"/>
      <c r="AC28" s="539"/>
      <c r="AD28" s="539"/>
      <c r="AE28" s="539"/>
      <c r="AF28" s="539"/>
      <c r="AG28" s="539"/>
      <c r="AH28" s="539"/>
      <c r="AI28" s="540"/>
      <c r="AJ28" s="539"/>
      <c r="AK28" s="539"/>
      <c r="AL28" s="539"/>
      <c r="AM28" s="541"/>
      <c r="AN28" s="539"/>
      <c r="AO28" s="542"/>
      <c r="AP28" s="539"/>
      <c r="AQ28" s="539"/>
      <c r="AR28" s="539"/>
      <c r="AS28" s="539"/>
      <c r="AT28" s="539"/>
      <c r="AU28" s="539"/>
      <c r="AV28" s="539"/>
      <c r="AW28" s="539"/>
      <c r="AX28" s="539"/>
      <c r="AY28" s="539"/>
      <c r="AZ28" s="539"/>
      <c r="BA28" s="539"/>
      <c r="BB28" s="539"/>
      <c r="BC28" s="539"/>
      <c r="BD28" s="539"/>
      <c r="BE28" s="539"/>
      <c r="BF28" s="539"/>
      <c r="BG28" s="539"/>
      <c r="BH28" s="539"/>
      <c r="BI28" s="539"/>
      <c r="BJ28" s="539"/>
      <c r="BK28" s="543"/>
      <c r="BL28" s="544"/>
      <c r="BM28" s="544"/>
      <c r="BN28" s="544"/>
      <c r="BO28" s="544"/>
      <c r="BP28" s="544"/>
      <c r="BQ28" s="544"/>
      <c r="BR28" s="544"/>
      <c r="BS28" s="544"/>
      <c r="BT28" s="544"/>
      <c r="BU28" s="544"/>
      <c r="BV28" s="539"/>
      <c r="BW28" s="539"/>
      <c r="BX28" s="539"/>
      <c r="BY28" s="539"/>
      <c r="BZ28" s="539"/>
      <c r="CA28" s="539"/>
      <c r="CB28" s="539"/>
      <c r="CC28" s="539"/>
      <c r="CD28" s="539"/>
      <c r="CE28" s="544"/>
      <c r="CF28" s="544"/>
      <c r="CG28" s="539"/>
      <c r="CH28" s="539"/>
      <c r="CI28" s="539"/>
      <c r="CJ28" s="539"/>
      <c r="CK28" s="539"/>
      <c r="CL28" s="539"/>
      <c r="CM28" s="539"/>
      <c r="CN28" s="539"/>
      <c r="CO28" s="539"/>
      <c r="CP28" s="539"/>
      <c r="CQ28" s="539"/>
      <c r="CR28" s="539"/>
      <c r="CS28" s="539"/>
      <c r="CT28" s="539"/>
      <c r="CU28" s="539"/>
      <c r="CV28" s="539"/>
      <c r="CW28" s="539"/>
      <c r="CX28" s="539"/>
      <c r="CY28" s="539"/>
      <c r="CZ28" s="539"/>
      <c r="DA28" s="539"/>
      <c r="DB28" s="539"/>
      <c r="DC28" s="539"/>
      <c r="DD28" s="539"/>
      <c r="DE28" s="539"/>
      <c r="DF28" s="539"/>
      <c r="DG28" s="539"/>
      <c r="DH28" s="539"/>
      <c r="DI28" s="539"/>
      <c r="DJ28" s="539"/>
      <c r="DK28" s="539"/>
      <c r="DL28" s="539"/>
      <c r="DM28" s="539"/>
      <c r="DN28" s="539"/>
      <c r="DO28" s="539"/>
      <c r="DP28" s="539"/>
      <c r="DQ28" s="539"/>
      <c r="DR28" s="539"/>
      <c r="DS28" s="539"/>
      <c r="DT28" s="539"/>
      <c r="DU28" s="539"/>
      <c r="DV28" s="539"/>
      <c r="DW28" s="539"/>
      <c r="DX28" s="539"/>
      <c r="DY28" s="539"/>
      <c r="DZ28" s="539"/>
      <c r="EA28" s="539"/>
      <c r="EB28" s="539"/>
      <c r="EC28" s="539"/>
      <c r="ED28" s="539"/>
      <c r="EE28" s="539"/>
      <c r="EF28" s="539"/>
      <c r="EG28" s="539"/>
      <c r="EH28" s="539"/>
      <c r="EI28" s="539"/>
      <c r="EJ28" s="539"/>
      <c r="EK28" s="539"/>
      <c r="EL28" s="539"/>
      <c r="EM28" s="539"/>
      <c r="EN28" s="539"/>
      <c r="EO28" s="539"/>
      <c r="EP28" s="539"/>
      <c r="EQ28" s="539"/>
      <c r="ER28" s="539"/>
      <c r="ES28" s="539"/>
      <c r="ET28" s="539"/>
      <c r="EU28" s="539"/>
      <c r="EV28" s="539"/>
      <c r="EW28" s="539"/>
      <c r="EX28" s="539"/>
      <c r="EY28" s="539"/>
      <c r="EZ28" s="539"/>
      <c r="FA28" s="539"/>
      <c r="FB28" s="539"/>
      <c r="FC28" s="538">
        <f>FD28</f>
        <v>0</v>
      </c>
      <c r="FD28" s="538">
        <f t="shared" ref="FD28:FF29" si="70">FD358</f>
        <v>0</v>
      </c>
      <c r="FE28" s="538">
        <f t="shared" si="70"/>
        <v>0</v>
      </c>
      <c r="FF28" s="538">
        <f t="shared" si="70"/>
        <v>0</v>
      </c>
      <c r="FG28" s="538"/>
      <c r="FH28" s="538"/>
      <c r="FI28" s="538"/>
      <c r="FJ28" s="538"/>
      <c r="FK28" s="538"/>
      <c r="FL28" s="538"/>
      <c r="FM28" s="538"/>
      <c r="FN28" s="538"/>
      <c r="FO28" s="538"/>
      <c r="FP28" s="538"/>
      <c r="FQ28" s="538"/>
      <c r="FR28" s="538"/>
      <c r="FS28" s="538">
        <f>FU28</f>
        <v>261667.67939999999</v>
      </c>
      <c r="FT28" s="531">
        <v>0</v>
      </c>
      <c r="FU28" s="538">
        <f>FU358</f>
        <v>261667.67939999999</v>
      </c>
      <c r="FV28" s="531">
        <v>0</v>
      </c>
      <c r="FW28" s="538">
        <f>FW358</f>
        <v>0</v>
      </c>
      <c r="FX28" s="531"/>
      <c r="FY28" s="538">
        <f>FY358</f>
        <v>0</v>
      </c>
      <c r="FZ28" s="531"/>
      <c r="GA28" s="538">
        <f>GC28</f>
        <v>0</v>
      </c>
      <c r="GB28" s="547"/>
      <c r="GC28" s="538">
        <f>GC358</f>
        <v>0</v>
      </c>
      <c r="GD28" s="547"/>
      <c r="GE28" s="538"/>
      <c r="GF28" s="547"/>
      <c r="GG28" s="538"/>
      <c r="GH28" s="547"/>
      <c r="GI28" s="538">
        <f>GJ28</f>
        <v>0</v>
      </c>
      <c r="GJ28" s="532"/>
      <c r="GK28" s="538">
        <f>GK358</f>
        <v>0</v>
      </c>
      <c r="GL28" s="532"/>
      <c r="GM28" s="538">
        <f>GM358</f>
        <v>0</v>
      </c>
      <c r="GN28" s="532"/>
      <c r="GO28" s="538">
        <f>GO358</f>
        <v>0</v>
      </c>
      <c r="GP28" s="532"/>
      <c r="GQ28" s="539"/>
      <c r="GR28" s="539"/>
      <c r="GS28" s="539"/>
      <c r="GT28" s="539"/>
      <c r="GU28" s="539"/>
      <c r="GV28" s="539"/>
      <c r="GW28" s="539"/>
      <c r="GX28" s="539"/>
      <c r="GY28" s="539"/>
      <c r="GZ28" s="539"/>
      <c r="HA28" s="539"/>
      <c r="HB28" s="539"/>
      <c r="HC28" s="539"/>
      <c r="HD28" s="539"/>
      <c r="HE28" s="539"/>
      <c r="HF28" s="539"/>
      <c r="HG28" s="539"/>
      <c r="HH28" s="539"/>
      <c r="HI28" s="539"/>
      <c r="HJ28" s="539"/>
      <c r="HK28" s="539"/>
      <c r="HL28" s="539"/>
      <c r="HM28" s="539"/>
      <c r="HN28" s="539"/>
      <c r="HO28" s="539"/>
      <c r="HP28" s="539"/>
      <c r="HQ28" s="539"/>
      <c r="HR28" s="539"/>
      <c r="HS28" s="539"/>
      <c r="HT28" s="539"/>
      <c r="HU28" s="539"/>
      <c r="HV28" s="539"/>
      <c r="HW28" s="539"/>
      <c r="HX28" s="539"/>
      <c r="HY28" s="539"/>
      <c r="HZ28" s="539"/>
      <c r="IA28" s="539"/>
      <c r="IB28" s="539"/>
      <c r="IC28" s="539"/>
      <c r="ID28" s="539"/>
      <c r="IE28" s="545"/>
      <c r="IF28" s="546"/>
      <c r="IG28" s="546"/>
      <c r="IH28" s="546"/>
    </row>
    <row r="29" spans="2:249" s="622" customFormat="1" ht="46.5" customHeight="1" x14ac:dyDescent="0.25">
      <c r="B29" s="736" t="s">
        <v>489</v>
      </c>
      <c r="C29" s="737"/>
      <c r="D29" s="615"/>
      <c r="E29" s="616"/>
      <c r="F29" s="616"/>
      <c r="G29" s="616"/>
      <c r="H29" s="616"/>
      <c r="I29" s="616"/>
      <c r="J29" s="616"/>
      <c r="K29" s="616"/>
      <c r="L29" s="616"/>
      <c r="M29" s="616"/>
      <c r="N29" s="616"/>
      <c r="O29" s="616"/>
      <c r="P29" s="616"/>
      <c r="Q29" s="615"/>
      <c r="R29" s="616"/>
      <c r="S29" s="616"/>
      <c r="T29" s="615"/>
      <c r="U29" s="615"/>
      <c r="V29" s="615"/>
      <c r="W29" s="615"/>
      <c r="X29" s="615"/>
      <c r="Y29" s="615"/>
      <c r="Z29" s="617">
        <f t="shared" ref="Z29:AN29" si="71">Z359</f>
        <v>434246.40000000002</v>
      </c>
      <c r="AA29" s="617">
        <f t="shared" si="71"/>
        <v>0</v>
      </c>
      <c r="AB29" s="617">
        <f t="shared" si="71"/>
        <v>434246.40000000002</v>
      </c>
      <c r="AC29" s="617">
        <f t="shared" si="71"/>
        <v>0</v>
      </c>
      <c r="AD29" s="617">
        <f t="shared" si="71"/>
        <v>0</v>
      </c>
      <c r="AE29" s="617">
        <f t="shared" si="71"/>
        <v>0</v>
      </c>
      <c r="AF29" s="617" t="e">
        <f t="shared" si="71"/>
        <v>#REF!</v>
      </c>
      <c r="AG29" s="617">
        <f t="shared" si="71"/>
        <v>0</v>
      </c>
      <c r="AH29" s="617" t="e">
        <f t="shared" si="71"/>
        <v>#REF!</v>
      </c>
      <c r="AI29" s="617">
        <f t="shared" si="71"/>
        <v>0</v>
      </c>
      <c r="AJ29" s="617">
        <f t="shared" si="71"/>
        <v>0</v>
      </c>
      <c r="AK29" s="617">
        <f t="shared" si="71"/>
        <v>434246.40000000002</v>
      </c>
      <c r="AL29" s="617" t="e">
        <f t="shared" si="71"/>
        <v>#REF!</v>
      </c>
      <c r="AM29" s="617" t="e">
        <f t="shared" si="71"/>
        <v>#VALUE!</v>
      </c>
      <c r="AN29" s="617" t="e">
        <f t="shared" si="71"/>
        <v>#VALUE!</v>
      </c>
      <c r="AO29" s="618">
        <v>1</v>
      </c>
      <c r="AP29" s="617">
        <f t="shared" ref="AP29:BJ29" si="72">AP359</f>
        <v>0</v>
      </c>
      <c r="AQ29" s="617">
        <f t="shared" si="72"/>
        <v>0</v>
      </c>
      <c r="AR29" s="617" t="e">
        <f t="shared" si="72"/>
        <v>#REF!</v>
      </c>
      <c r="AS29" s="617">
        <f t="shared" si="72"/>
        <v>348761.3</v>
      </c>
      <c r="AT29" s="617">
        <f t="shared" si="72"/>
        <v>0</v>
      </c>
      <c r="AU29" s="617">
        <f t="shared" si="72"/>
        <v>348761.3</v>
      </c>
      <c r="AV29" s="617">
        <f t="shared" si="72"/>
        <v>0</v>
      </c>
      <c r="AW29" s="617">
        <f t="shared" si="72"/>
        <v>0</v>
      </c>
      <c r="AX29" s="617">
        <f t="shared" si="72"/>
        <v>0</v>
      </c>
      <c r="AY29" s="617">
        <f t="shared" si="72"/>
        <v>348761.3</v>
      </c>
      <c r="AZ29" s="617">
        <f t="shared" si="72"/>
        <v>0</v>
      </c>
      <c r="BA29" s="617">
        <f t="shared" si="72"/>
        <v>348761.3</v>
      </c>
      <c r="BB29" s="617">
        <f t="shared" si="72"/>
        <v>600000</v>
      </c>
      <c r="BC29" s="617">
        <f t="shared" si="72"/>
        <v>0</v>
      </c>
      <c r="BD29" s="617">
        <f t="shared" si="72"/>
        <v>600000</v>
      </c>
      <c r="BE29" s="617">
        <f t="shared" si="72"/>
        <v>315773.90000000002</v>
      </c>
      <c r="BF29" s="617">
        <f t="shared" si="72"/>
        <v>0</v>
      </c>
      <c r="BG29" s="617">
        <f t="shared" si="72"/>
        <v>315773.90000000002</v>
      </c>
      <c r="BH29" s="617">
        <f t="shared" si="72"/>
        <v>664535.19999999995</v>
      </c>
      <c r="BI29" s="617">
        <f t="shared" si="72"/>
        <v>0</v>
      </c>
      <c r="BJ29" s="617">
        <f t="shared" si="72"/>
        <v>664535.19999999995</v>
      </c>
      <c r="BK29" s="619">
        <v>1</v>
      </c>
      <c r="BL29" s="617">
        <f t="shared" ref="BL29:CD29" si="73">BL359</f>
        <v>348761.3</v>
      </c>
      <c r="BM29" s="617">
        <f t="shared" si="73"/>
        <v>0</v>
      </c>
      <c r="BN29" s="617">
        <f t="shared" si="73"/>
        <v>0</v>
      </c>
      <c r="BO29" s="617">
        <f t="shared" si="73"/>
        <v>0</v>
      </c>
      <c r="BP29" s="617">
        <f t="shared" si="73"/>
        <v>0</v>
      </c>
      <c r="BQ29" s="617">
        <f t="shared" si="73"/>
        <v>0</v>
      </c>
      <c r="BR29" s="617">
        <f t="shared" si="73"/>
        <v>0</v>
      </c>
      <c r="BS29" s="617">
        <f t="shared" si="73"/>
        <v>664535.19999999995</v>
      </c>
      <c r="BT29" s="617">
        <f t="shared" si="73"/>
        <v>0</v>
      </c>
      <c r="BU29" s="617">
        <f t="shared" si="73"/>
        <v>664535.19999999995</v>
      </c>
      <c r="BV29" s="617">
        <f t="shared" si="73"/>
        <v>348761.3</v>
      </c>
      <c r="BW29" s="617">
        <f t="shared" si="73"/>
        <v>0</v>
      </c>
      <c r="BX29" s="617">
        <f t="shared" si="73"/>
        <v>348761.3</v>
      </c>
      <c r="BY29" s="617">
        <f t="shared" si="73"/>
        <v>0</v>
      </c>
      <c r="BZ29" s="617">
        <f t="shared" si="73"/>
        <v>0</v>
      </c>
      <c r="CA29" s="617">
        <f t="shared" si="73"/>
        <v>0</v>
      </c>
      <c r="CB29" s="617">
        <f t="shared" si="73"/>
        <v>664535.19999999995</v>
      </c>
      <c r="CC29" s="617">
        <f t="shared" si="73"/>
        <v>0</v>
      </c>
      <c r="CD29" s="617">
        <f t="shared" si="73"/>
        <v>664535.19999999995</v>
      </c>
      <c r="CE29" s="617">
        <v>1</v>
      </c>
      <c r="CF29" s="617" t="e">
        <f>CF359</f>
        <v>#REF!</v>
      </c>
      <c r="CG29" s="617"/>
      <c r="CH29" s="617" t="e">
        <f t="shared" ref="CH29:EW29" si="74">CH359</f>
        <v>#REF!</v>
      </c>
      <c r="CI29" s="617" t="e">
        <f t="shared" si="74"/>
        <v>#REF!</v>
      </c>
      <c r="CJ29" s="617" t="e">
        <f t="shared" si="74"/>
        <v>#REF!</v>
      </c>
      <c r="CK29" s="617" t="e">
        <f t="shared" si="74"/>
        <v>#REF!</v>
      </c>
      <c r="CL29" s="617" t="e">
        <f t="shared" si="74"/>
        <v>#REF!</v>
      </c>
      <c r="CM29" s="617" t="e">
        <f t="shared" si="74"/>
        <v>#REF!</v>
      </c>
      <c r="CN29" s="617">
        <f t="shared" si="74"/>
        <v>0</v>
      </c>
      <c r="CO29" s="617">
        <f t="shared" si="74"/>
        <v>0</v>
      </c>
      <c r="CP29" s="617">
        <f t="shared" si="74"/>
        <v>0</v>
      </c>
      <c r="CQ29" s="617" t="e">
        <f t="shared" si="74"/>
        <v>#REF!</v>
      </c>
      <c r="CR29" s="617" t="e">
        <f t="shared" si="74"/>
        <v>#REF!</v>
      </c>
      <c r="CS29" s="617" t="e">
        <f t="shared" si="74"/>
        <v>#REF!</v>
      </c>
      <c r="CT29" s="617">
        <f t="shared" si="74"/>
        <v>385949.74</v>
      </c>
      <c r="CU29" s="617">
        <f t="shared" si="74"/>
        <v>0</v>
      </c>
      <c r="CV29" s="617">
        <f t="shared" si="74"/>
        <v>385949.74</v>
      </c>
      <c r="CW29" s="82">
        <f t="shared" si="74"/>
        <v>1147628.53</v>
      </c>
      <c r="CX29" s="82">
        <f t="shared" si="74"/>
        <v>0</v>
      </c>
      <c r="CY29" s="82">
        <f t="shared" si="74"/>
        <v>1147628.53</v>
      </c>
      <c r="CZ29" s="82">
        <f t="shared" si="74"/>
        <v>672740.28</v>
      </c>
      <c r="DA29" s="82">
        <f t="shared" si="74"/>
        <v>0</v>
      </c>
      <c r="DB29" s="82">
        <f t="shared" si="74"/>
        <v>672740.28</v>
      </c>
      <c r="DC29" s="82">
        <f t="shared" si="74"/>
        <v>380350</v>
      </c>
      <c r="DD29" s="82">
        <f t="shared" si="74"/>
        <v>0</v>
      </c>
      <c r="DE29" s="82">
        <f t="shared" si="74"/>
        <v>380350</v>
      </c>
      <c r="DF29" s="82">
        <f t="shared" si="74"/>
        <v>0</v>
      </c>
      <c r="DG29" s="82">
        <f t="shared" si="74"/>
        <v>0</v>
      </c>
      <c r="DH29" s="82">
        <f t="shared" si="74"/>
        <v>0</v>
      </c>
      <c r="DI29" s="82">
        <f t="shared" si="74"/>
        <v>1147628.53</v>
      </c>
      <c r="DJ29" s="82">
        <f t="shared" si="74"/>
        <v>0</v>
      </c>
      <c r="DK29" s="82">
        <f t="shared" si="74"/>
        <v>1147628.53</v>
      </c>
      <c r="DL29" s="82">
        <f t="shared" si="74"/>
        <v>80543.645000000004</v>
      </c>
      <c r="DM29" s="82">
        <f t="shared" si="74"/>
        <v>0</v>
      </c>
      <c r="DN29" s="82">
        <f t="shared" si="74"/>
        <v>80543.645000000004</v>
      </c>
      <c r="DO29" s="82">
        <f t="shared" si="74"/>
        <v>0</v>
      </c>
      <c r="DP29" s="82">
        <f t="shared" si="74"/>
        <v>0</v>
      </c>
      <c r="DQ29" s="82">
        <f t="shared" si="74"/>
        <v>0</v>
      </c>
      <c r="DR29" s="82">
        <f t="shared" si="74"/>
        <v>1061538.585</v>
      </c>
      <c r="DS29" s="82">
        <f t="shared" si="74"/>
        <v>0</v>
      </c>
      <c r="DT29" s="82">
        <f t="shared" si="74"/>
        <v>1061538.585</v>
      </c>
      <c r="DU29" s="82">
        <f t="shared" si="74"/>
        <v>1053090.28</v>
      </c>
      <c r="DV29" s="82">
        <f t="shared" si="74"/>
        <v>0</v>
      </c>
      <c r="DW29" s="82">
        <f t="shared" si="74"/>
        <v>1053090.28</v>
      </c>
      <c r="DX29" s="82">
        <f t="shared" si="74"/>
        <v>384509.3</v>
      </c>
      <c r="DY29" s="82">
        <f t="shared" si="74"/>
        <v>0</v>
      </c>
      <c r="DZ29" s="82">
        <f t="shared" si="74"/>
        <v>384509.3</v>
      </c>
      <c r="EA29" s="82">
        <f t="shared" si="74"/>
        <v>443142</v>
      </c>
      <c r="EB29" s="82">
        <f t="shared" si="74"/>
        <v>0</v>
      </c>
      <c r="EC29" s="82">
        <f t="shared" si="74"/>
        <v>443142</v>
      </c>
      <c r="ED29" s="82">
        <f t="shared" si="74"/>
        <v>-126486.06200000001</v>
      </c>
      <c r="EE29" s="82">
        <f t="shared" si="74"/>
        <v>0</v>
      </c>
      <c r="EF29" s="82">
        <f t="shared" si="74"/>
        <v>-126486.06200000001</v>
      </c>
      <c r="EG29" s="82">
        <f>EH29+EI29+EJ29</f>
        <v>1111789.9879999999</v>
      </c>
      <c r="EH29" s="82">
        <f t="shared" si="74"/>
        <v>0</v>
      </c>
      <c r="EI29" s="82">
        <f t="shared" si="74"/>
        <v>0</v>
      </c>
      <c r="EJ29" s="82">
        <f>EJ211+EJ288</f>
        <v>1111789.9879999999</v>
      </c>
      <c r="EK29" s="82">
        <f>EL29+EM29+EN29</f>
        <v>0</v>
      </c>
      <c r="EL29" s="82">
        <f t="shared" si="74"/>
        <v>0</v>
      </c>
      <c r="EM29" s="82">
        <f t="shared" si="74"/>
        <v>0</v>
      </c>
      <c r="EN29" s="82">
        <f>EN211+EN288</f>
        <v>0</v>
      </c>
      <c r="EO29" s="82" t="e">
        <f t="shared" si="74"/>
        <v>#REF!</v>
      </c>
      <c r="EP29" s="82">
        <f t="shared" si="74"/>
        <v>0</v>
      </c>
      <c r="EQ29" s="82">
        <f t="shared" si="74"/>
        <v>0</v>
      </c>
      <c r="ER29" s="82" t="e">
        <f t="shared" si="74"/>
        <v>#REF!</v>
      </c>
      <c r="ES29" s="82">
        <f>ET29+EU29+EV29</f>
        <v>-117239.90174999993</v>
      </c>
      <c r="ET29" s="82">
        <f t="shared" si="74"/>
        <v>0</v>
      </c>
      <c r="EU29" s="82">
        <f t="shared" si="74"/>
        <v>0</v>
      </c>
      <c r="EV29" s="82">
        <f>EV211+EV288</f>
        <v>-117239.90174999993</v>
      </c>
      <c r="EW29" s="82">
        <f t="shared" si="74"/>
        <v>827651.3</v>
      </c>
      <c r="EX29" s="82">
        <f t="shared" ref="EX29:FN29" si="75">EX359</f>
        <v>0</v>
      </c>
      <c r="EY29" s="82">
        <f t="shared" si="75"/>
        <v>827651.3</v>
      </c>
      <c r="EZ29" s="82">
        <f t="shared" si="75"/>
        <v>0</v>
      </c>
      <c r="FA29" s="82">
        <f t="shared" si="75"/>
        <v>0</v>
      </c>
      <c r="FB29" s="82">
        <f t="shared" si="75"/>
        <v>0</v>
      </c>
      <c r="FC29" s="83">
        <f>FD29+FE29+FF29</f>
        <v>1524316.71043</v>
      </c>
      <c r="FD29" s="83">
        <f t="shared" si="70"/>
        <v>0</v>
      </c>
      <c r="FE29" s="83">
        <f t="shared" si="70"/>
        <v>0</v>
      </c>
      <c r="FF29" s="83">
        <f t="shared" si="70"/>
        <v>1524316.71043</v>
      </c>
      <c r="FG29" s="83">
        <f>FH29+FI29+FJ29</f>
        <v>53229.147620000025</v>
      </c>
      <c r="FH29" s="83">
        <f>FH359</f>
        <v>0</v>
      </c>
      <c r="FI29" s="83">
        <f>FI359</f>
        <v>0</v>
      </c>
      <c r="FJ29" s="83">
        <f>FJ211+FJ288</f>
        <v>53229.147620000025</v>
      </c>
      <c r="FK29" s="83">
        <f t="shared" si="75"/>
        <v>-40826.822620000006</v>
      </c>
      <c r="FL29" s="83">
        <f t="shared" si="75"/>
        <v>0</v>
      </c>
      <c r="FM29" s="83">
        <f t="shared" si="75"/>
        <v>0</v>
      </c>
      <c r="FN29" s="83">
        <f t="shared" si="75"/>
        <v>-40826.822620000006</v>
      </c>
      <c r="FO29" s="83">
        <f>FP29+FQ29+FR29</f>
        <v>1455925.1284100001</v>
      </c>
      <c r="FP29" s="83">
        <f>FP359</f>
        <v>0</v>
      </c>
      <c r="FQ29" s="83">
        <f>FQ359</f>
        <v>0</v>
      </c>
      <c r="FR29" s="83">
        <f>FR211+FR288</f>
        <v>1455925.1284100001</v>
      </c>
      <c r="FS29" s="83">
        <f t="shared" si="57"/>
        <v>410677.63962999999</v>
      </c>
      <c r="FT29" s="488">
        <f t="shared" si="7"/>
        <v>0.26941752774864647</v>
      </c>
      <c r="FU29" s="83">
        <f>FU359</f>
        <v>0</v>
      </c>
      <c r="FV29" s="488">
        <v>0</v>
      </c>
      <c r="FW29" s="83">
        <f>FW359</f>
        <v>0</v>
      </c>
      <c r="FX29" s="488">
        <v>0</v>
      </c>
      <c r="FY29" s="83">
        <f>FY359</f>
        <v>410677.63962999999</v>
      </c>
      <c r="FZ29" s="488">
        <f>FY29/FF29</f>
        <v>0.26941752774864647</v>
      </c>
      <c r="GA29" s="83">
        <f>GC29+GE29+GG29</f>
        <v>410677.63962999999</v>
      </c>
      <c r="GB29" s="488">
        <f>GA29/FC29</f>
        <v>0.26941752774864647</v>
      </c>
      <c r="GC29" s="83">
        <f>GC359</f>
        <v>0</v>
      </c>
      <c r="GD29" s="488">
        <v>0</v>
      </c>
      <c r="GE29" s="83">
        <f>GE359</f>
        <v>0</v>
      </c>
      <c r="GF29" s="488">
        <v>0</v>
      </c>
      <c r="GG29" s="83">
        <f>GG359</f>
        <v>410677.63962999999</v>
      </c>
      <c r="GH29" s="488">
        <f>GG29/FF29</f>
        <v>0.26941752774864647</v>
      </c>
      <c r="GI29" s="83">
        <f>GK29+GM29+GO29</f>
        <v>1515490.6846600003</v>
      </c>
      <c r="GJ29" s="573">
        <f>GI29/FC29</f>
        <v>0.99420984778976151</v>
      </c>
      <c r="GK29" s="83">
        <f>GK359</f>
        <v>0</v>
      </c>
      <c r="GL29" s="573">
        <v>0</v>
      </c>
      <c r="GM29" s="83">
        <f>GM359</f>
        <v>0</v>
      </c>
      <c r="GN29" s="573">
        <v>0</v>
      </c>
      <c r="GO29" s="83">
        <f>GO359</f>
        <v>1515490.6846600003</v>
      </c>
      <c r="GP29" s="573">
        <f>GO29/FF29</f>
        <v>0.99420984778976151</v>
      </c>
      <c r="GQ29" s="82"/>
      <c r="GR29" s="82"/>
      <c r="GS29" s="82"/>
      <c r="GT29" s="82"/>
      <c r="GU29" s="82">
        <f>GV29+GW29+GX29</f>
        <v>1270260.6470000001</v>
      </c>
      <c r="GV29" s="82">
        <f>GV359</f>
        <v>0</v>
      </c>
      <c r="GW29" s="82">
        <f>GW359</f>
        <v>0</v>
      </c>
      <c r="GX29" s="82">
        <f>GX211+GX288</f>
        <v>1270260.6470000001</v>
      </c>
      <c r="GY29" s="82"/>
      <c r="GZ29" s="82"/>
      <c r="HA29" s="82"/>
      <c r="HB29" s="82"/>
      <c r="HC29" s="82"/>
      <c r="HD29" s="82"/>
      <c r="HE29" s="82"/>
      <c r="HF29" s="82"/>
      <c r="HG29" s="82">
        <f>HH29+HI29+HJ29</f>
        <v>77905.531750000009</v>
      </c>
      <c r="HH29" s="82">
        <f>HH359</f>
        <v>0</v>
      </c>
      <c r="HI29" s="82">
        <f>HI359</f>
        <v>0</v>
      </c>
      <c r="HJ29" s="82">
        <f>HJ211+HJ288</f>
        <v>77905.531750000009</v>
      </c>
      <c r="HK29" s="82">
        <f>HK359</f>
        <v>0</v>
      </c>
      <c r="HL29" s="82">
        <f>HL359</f>
        <v>0</v>
      </c>
      <c r="HM29" s="82">
        <f>HM359</f>
        <v>0</v>
      </c>
      <c r="HN29" s="82">
        <f>HN359</f>
        <v>0</v>
      </c>
      <c r="HO29" s="82">
        <f>HP29+HQ29+HR29</f>
        <v>1348166.17875</v>
      </c>
      <c r="HP29" s="82">
        <f>HP359</f>
        <v>0</v>
      </c>
      <c r="HQ29" s="82">
        <f>HQ359</f>
        <v>0</v>
      </c>
      <c r="HR29" s="82">
        <f>HR211+HR288</f>
        <v>1348166.17875</v>
      </c>
      <c r="HS29" s="82">
        <f>HT29+HU29+HV29</f>
        <v>853781.06299999997</v>
      </c>
      <c r="HT29" s="82">
        <f>HT359</f>
        <v>0</v>
      </c>
      <c r="HU29" s="82">
        <f>HU359</f>
        <v>0</v>
      </c>
      <c r="HV29" s="82">
        <f>HV211+HV288</f>
        <v>853781.06299999997</v>
      </c>
      <c r="HW29" s="82">
        <f>HW359</f>
        <v>0</v>
      </c>
      <c r="HX29" s="82">
        <f>HX359</f>
        <v>0</v>
      </c>
      <c r="HY29" s="82">
        <f>HY359</f>
        <v>0</v>
      </c>
      <c r="HZ29" s="82">
        <f>HZ359</f>
        <v>0</v>
      </c>
      <c r="IA29" s="82">
        <f>IB29+IC29+ID29</f>
        <v>853781.06299999997</v>
      </c>
      <c r="IB29" s="82">
        <f>IB359</f>
        <v>0</v>
      </c>
      <c r="IC29" s="82">
        <f>IC359</f>
        <v>0</v>
      </c>
      <c r="ID29" s="82">
        <f>ID211+ID288</f>
        <v>853781.06299999997</v>
      </c>
      <c r="IE29" s="620"/>
      <c r="IF29" s="603"/>
      <c r="IG29" s="603"/>
      <c r="IH29" s="603"/>
      <c r="II29" s="621"/>
      <c r="IJ29" s="621"/>
      <c r="IK29" s="621"/>
      <c r="IL29" s="621"/>
      <c r="IM29" s="621"/>
      <c r="IN29" s="621"/>
      <c r="IO29" s="621"/>
    </row>
    <row r="30" spans="2:249" s="130" customFormat="1" ht="31.5" customHeight="1" x14ac:dyDescent="0.25">
      <c r="B30" s="742" t="s">
        <v>133</v>
      </c>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743"/>
      <c r="AL30" s="743"/>
      <c r="AM30" s="743"/>
      <c r="AN30" s="743"/>
      <c r="AO30" s="743"/>
      <c r="AP30" s="743"/>
      <c r="AQ30" s="743"/>
      <c r="AR30" s="743"/>
      <c r="AS30" s="743"/>
      <c r="AT30" s="743"/>
      <c r="AU30" s="743"/>
      <c r="AV30" s="743"/>
      <c r="AW30" s="743"/>
      <c r="AX30" s="743"/>
      <c r="AY30" s="743"/>
      <c r="AZ30" s="743"/>
      <c r="BA30" s="743"/>
      <c r="BB30" s="743"/>
      <c r="BC30" s="743"/>
      <c r="BD30" s="743"/>
      <c r="BE30" s="743"/>
      <c r="BF30" s="743"/>
      <c r="BG30" s="743"/>
      <c r="BH30" s="743"/>
      <c r="BI30" s="743"/>
      <c r="BJ30" s="743"/>
      <c r="BK30" s="743"/>
      <c r="BL30" s="743"/>
      <c r="BM30" s="743"/>
      <c r="BN30" s="743"/>
      <c r="BO30" s="743"/>
      <c r="BP30" s="743"/>
      <c r="BQ30" s="743"/>
      <c r="BR30" s="743"/>
      <c r="BS30" s="743"/>
      <c r="BT30" s="743"/>
      <c r="BU30" s="743"/>
      <c r="BV30" s="743"/>
      <c r="BW30" s="743"/>
      <c r="BX30" s="743"/>
      <c r="BY30" s="743"/>
      <c r="BZ30" s="743"/>
      <c r="CA30" s="743"/>
      <c r="CB30" s="743"/>
      <c r="CC30" s="743"/>
      <c r="CD30" s="743"/>
      <c r="CE30" s="743"/>
      <c r="CF30" s="743"/>
      <c r="CG30" s="743"/>
      <c r="CH30" s="743"/>
      <c r="CI30" s="743"/>
      <c r="CJ30" s="743"/>
      <c r="CK30" s="743"/>
      <c r="CL30" s="743"/>
      <c r="CM30" s="743"/>
      <c r="CN30" s="743"/>
      <c r="CO30" s="743"/>
      <c r="CP30" s="743"/>
      <c r="CQ30" s="743"/>
      <c r="CR30" s="743"/>
      <c r="CS30" s="743"/>
      <c r="CT30" s="743"/>
      <c r="CU30" s="743"/>
      <c r="CV30" s="743"/>
      <c r="CW30" s="743"/>
      <c r="CX30" s="743"/>
      <c r="CY30" s="743"/>
      <c r="CZ30" s="743"/>
      <c r="DA30" s="743"/>
      <c r="DB30" s="743"/>
      <c r="DC30" s="743"/>
      <c r="DD30" s="743"/>
      <c r="DE30" s="743"/>
      <c r="DF30" s="743"/>
      <c r="DG30" s="743"/>
      <c r="DH30" s="743"/>
      <c r="DI30" s="743"/>
      <c r="DJ30" s="743"/>
      <c r="DK30" s="743"/>
      <c r="DL30" s="743"/>
      <c r="DM30" s="743"/>
      <c r="DN30" s="743"/>
      <c r="DO30" s="743"/>
      <c r="DP30" s="743"/>
      <c r="DQ30" s="743"/>
      <c r="DR30" s="743"/>
      <c r="DS30" s="743"/>
      <c r="DT30" s="743"/>
      <c r="DU30" s="743"/>
      <c r="DV30" s="743"/>
      <c r="DW30" s="743"/>
      <c r="DX30" s="743"/>
      <c r="DY30" s="743"/>
      <c r="DZ30" s="743"/>
      <c r="EA30" s="743"/>
      <c r="EB30" s="743"/>
      <c r="EC30" s="743"/>
      <c r="ED30" s="743"/>
      <c r="EE30" s="743"/>
      <c r="EF30" s="743"/>
      <c r="EG30" s="743"/>
      <c r="EH30" s="743"/>
      <c r="EI30" s="743"/>
      <c r="EJ30" s="743"/>
      <c r="EK30" s="743"/>
      <c r="EL30" s="743"/>
      <c r="EM30" s="743"/>
      <c r="EN30" s="743"/>
      <c r="EO30" s="743"/>
      <c r="EP30" s="743"/>
      <c r="EQ30" s="743"/>
      <c r="ER30" s="743"/>
      <c r="ES30" s="743"/>
      <c r="ET30" s="743"/>
      <c r="EU30" s="743"/>
      <c r="EV30" s="743"/>
      <c r="EW30" s="743"/>
      <c r="EX30" s="743"/>
      <c r="EY30" s="743"/>
      <c r="EZ30" s="743"/>
      <c r="FA30" s="743"/>
      <c r="FB30" s="743"/>
      <c r="FC30" s="743"/>
      <c r="FD30" s="743"/>
      <c r="FE30" s="743"/>
      <c r="FF30" s="743"/>
      <c r="FG30" s="743"/>
      <c r="FH30" s="743"/>
      <c r="FI30" s="743"/>
      <c r="FJ30" s="743"/>
      <c r="FK30" s="743"/>
      <c r="FL30" s="743"/>
      <c r="FM30" s="743"/>
      <c r="FN30" s="743"/>
      <c r="FO30" s="743"/>
      <c r="FP30" s="743"/>
      <c r="FQ30" s="743"/>
      <c r="FR30" s="743"/>
      <c r="FS30" s="743"/>
      <c r="FT30" s="743"/>
      <c r="FU30" s="743"/>
      <c r="FV30" s="743"/>
      <c r="FW30" s="743"/>
      <c r="FX30" s="743"/>
      <c r="FY30" s="743"/>
      <c r="FZ30" s="743"/>
      <c r="GA30" s="743"/>
      <c r="GB30" s="743"/>
      <c r="GC30" s="743"/>
      <c r="GD30" s="743"/>
      <c r="GE30" s="743"/>
      <c r="GF30" s="743"/>
      <c r="GG30" s="743"/>
      <c r="GH30" s="743"/>
      <c r="GI30" s="743"/>
      <c r="GJ30" s="743"/>
      <c r="GK30" s="743"/>
      <c r="GL30" s="743"/>
      <c r="GM30" s="743"/>
      <c r="GN30" s="743"/>
      <c r="GO30" s="743"/>
      <c r="GP30" s="743"/>
      <c r="GQ30" s="743"/>
      <c r="GR30" s="743"/>
      <c r="GS30" s="743"/>
      <c r="GT30" s="743"/>
      <c r="GU30" s="743"/>
      <c r="GV30" s="743"/>
      <c r="GW30" s="743"/>
      <c r="GX30" s="743"/>
      <c r="GY30" s="743"/>
      <c r="GZ30" s="743"/>
      <c r="HA30" s="743"/>
      <c r="HB30" s="743"/>
      <c r="HC30" s="743"/>
      <c r="HD30" s="743"/>
      <c r="HE30" s="743"/>
      <c r="HF30" s="743"/>
      <c r="HG30" s="743"/>
      <c r="HH30" s="743"/>
      <c r="HI30" s="743"/>
      <c r="HJ30" s="743"/>
      <c r="HK30" s="743"/>
      <c r="HL30" s="743"/>
      <c r="HM30" s="743"/>
      <c r="HN30" s="743"/>
      <c r="HO30" s="743"/>
      <c r="HP30" s="743"/>
      <c r="HQ30" s="743"/>
      <c r="HR30" s="743"/>
      <c r="HS30" s="744"/>
      <c r="HT30" s="744"/>
      <c r="HU30" s="744"/>
      <c r="HV30" s="744"/>
      <c r="HW30" s="744"/>
      <c r="HX30" s="744"/>
      <c r="HY30" s="744"/>
      <c r="HZ30" s="744"/>
      <c r="IA30" s="744"/>
      <c r="IB30" s="744"/>
      <c r="IC30" s="744"/>
      <c r="ID30" s="744"/>
      <c r="IE30" s="745"/>
      <c r="IF30" s="128"/>
      <c r="IG30" s="128"/>
      <c r="IH30" s="128"/>
      <c r="II30" s="129"/>
      <c r="IJ30" s="129"/>
      <c r="IK30" s="129"/>
      <c r="IL30" s="129"/>
      <c r="IM30" s="129"/>
      <c r="IN30" s="129"/>
      <c r="IO30" s="129"/>
    </row>
    <row r="31" spans="2:249" s="218" customFormat="1" ht="93" customHeight="1" x14ac:dyDescent="0.25">
      <c r="B31" s="131" t="s">
        <v>134</v>
      </c>
      <c r="C31" s="132" t="s">
        <v>135</v>
      </c>
      <c r="D31" s="133"/>
      <c r="E31" s="134" t="e">
        <f>F31+G31</f>
        <v>#REF!</v>
      </c>
      <c r="F31" s="134" t="e">
        <f>#REF!+#REF!</f>
        <v>#REF!</v>
      </c>
      <c r="G31" s="134" t="e">
        <f>#REF!+#REF!</f>
        <v>#REF!</v>
      </c>
      <c r="H31" s="134" t="e">
        <f>I31+J31</f>
        <v>#REF!</v>
      </c>
      <c r="I31" s="134" t="e">
        <f>#REF!+#REF!</f>
        <v>#REF!</v>
      </c>
      <c r="J31" s="134" t="e">
        <f>#REF!+#REF!</f>
        <v>#REF!</v>
      </c>
      <c r="K31" s="134" t="e">
        <f>L31+M31</f>
        <v>#REF!</v>
      </c>
      <c r="L31" s="134" t="e">
        <f>#REF!+#REF!</f>
        <v>#REF!</v>
      </c>
      <c r="M31" s="134" t="e">
        <f>#REF!+#REF!</f>
        <v>#REF!</v>
      </c>
      <c r="N31" s="134" t="e">
        <f>O31+P31</f>
        <v>#REF!</v>
      </c>
      <c r="O31" s="134" t="e">
        <f>#REF!+#REF!</f>
        <v>#REF!</v>
      </c>
      <c r="P31" s="134" t="e">
        <f>#REF!+#REF!</f>
        <v>#REF!</v>
      </c>
      <c r="Q31" s="136" t="e">
        <f>R31+S31</f>
        <v>#REF!</v>
      </c>
      <c r="R31" s="136" t="e">
        <f>#REF!+#REF!</f>
        <v>#REF!</v>
      </c>
      <c r="S31" s="136" t="e">
        <f>#REF!+#REF!</f>
        <v>#REF!</v>
      </c>
      <c r="T31" s="136" t="e">
        <f t="shared" ref="T31:AN31" si="76">T35+T105</f>
        <v>#REF!</v>
      </c>
      <c r="U31" s="136" t="e">
        <f t="shared" si="76"/>
        <v>#REF!</v>
      </c>
      <c r="V31" s="136" t="e">
        <f t="shared" si="76"/>
        <v>#REF!</v>
      </c>
      <c r="W31" s="136" t="e">
        <f t="shared" si="76"/>
        <v>#REF!</v>
      </c>
      <c r="X31" s="136" t="e">
        <f t="shared" si="76"/>
        <v>#REF!</v>
      </c>
      <c r="Y31" s="136" t="e">
        <f t="shared" si="76"/>
        <v>#REF!</v>
      </c>
      <c r="Z31" s="136" t="e">
        <f t="shared" si="76"/>
        <v>#REF!</v>
      </c>
      <c r="AA31" s="136" t="e">
        <f t="shared" si="76"/>
        <v>#REF!</v>
      </c>
      <c r="AB31" s="136" t="e">
        <f t="shared" si="76"/>
        <v>#REF!</v>
      </c>
      <c r="AC31" s="136" t="e">
        <f t="shared" si="76"/>
        <v>#REF!</v>
      </c>
      <c r="AD31" s="136" t="e">
        <f t="shared" si="76"/>
        <v>#REF!</v>
      </c>
      <c r="AE31" s="136" t="e">
        <f t="shared" si="76"/>
        <v>#REF!</v>
      </c>
      <c r="AF31" s="136" t="e">
        <f t="shared" si="76"/>
        <v>#REF!</v>
      </c>
      <c r="AG31" s="136" t="e">
        <f t="shared" si="76"/>
        <v>#REF!</v>
      </c>
      <c r="AH31" s="136" t="e">
        <f t="shared" si="76"/>
        <v>#REF!</v>
      </c>
      <c r="AI31" s="136" t="e">
        <f t="shared" si="76"/>
        <v>#REF!</v>
      </c>
      <c r="AJ31" s="136" t="e">
        <f t="shared" si="76"/>
        <v>#REF!</v>
      </c>
      <c r="AK31" s="136" t="e">
        <f t="shared" si="76"/>
        <v>#REF!</v>
      </c>
      <c r="AL31" s="136" t="e">
        <f t="shared" si="76"/>
        <v>#REF!</v>
      </c>
      <c r="AM31" s="136" t="e">
        <f t="shared" si="76"/>
        <v>#REF!</v>
      </c>
      <c r="AN31" s="136" t="e">
        <f t="shared" si="76"/>
        <v>#REF!</v>
      </c>
      <c r="AO31" s="137">
        <v>1</v>
      </c>
      <c r="AP31" s="136" t="e">
        <f t="shared" ref="AP31:BJ31" si="77">AP35+AP105</f>
        <v>#REF!</v>
      </c>
      <c r="AQ31" s="136" t="e">
        <f t="shared" si="77"/>
        <v>#REF!</v>
      </c>
      <c r="AR31" s="136" t="e">
        <f t="shared" si="77"/>
        <v>#REF!</v>
      </c>
      <c r="AS31" s="136" t="e">
        <f t="shared" si="77"/>
        <v>#REF!</v>
      </c>
      <c r="AT31" s="136" t="e">
        <f t="shared" si="77"/>
        <v>#REF!</v>
      </c>
      <c r="AU31" s="136" t="e">
        <f t="shared" si="77"/>
        <v>#REF!</v>
      </c>
      <c r="AV31" s="136" t="e">
        <f t="shared" si="77"/>
        <v>#REF!</v>
      </c>
      <c r="AW31" s="136" t="e">
        <f t="shared" si="77"/>
        <v>#REF!</v>
      </c>
      <c r="AX31" s="136" t="e">
        <f t="shared" si="77"/>
        <v>#REF!</v>
      </c>
      <c r="AY31" s="136" t="e">
        <f t="shared" si="77"/>
        <v>#REF!</v>
      </c>
      <c r="AZ31" s="136" t="e">
        <f t="shared" si="77"/>
        <v>#REF!</v>
      </c>
      <c r="BA31" s="136" t="e">
        <f t="shared" si="77"/>
        <v>#REF!</v>
      </c>
      <c r="BB31" s="136" t="e">
        <f t="shared" si="77"/>
        <v>#REF!</v>
      </c>
      <c r="BC31" s="136" t="e">
        <f t="shared" si="77"/>
        <v>#REF!</v>
      </c>
      <c r="BD31" s="136" t="e">
        <f t="shared" si="77"/>
        <v>#REF!</v>
      </c>
      <c r="BE31" s="136" t="e">
        <f t="shared" si="77"/>
        <v>#REF!</v>
      </c>
      <c r="BF31" s="136" t="e">
        <f t="shared" si="77"/>
        <v>#REF!</v>
      </c>
      <c r="BG31" s="136" t="e">
        <f t="shared" si="77"/>
        <v>#REF!</v>
      </c>
      <c r="BH31" s="136" t="e">
        <f t="shared" si="77"/>
        <v>#REF!</v>
      </c>
      <c r="BI31" s="136" t="e">
        <f t="shared" si="77"/>
        <v>#REF!</v>
      </c>
      <c r="BJ31" s="136" t="e">
        <f t="shared" si="77"/>
        <v>#REF!</v>
      </c>
      <c r="BK31" s="138">
        <v>1</v>
      </c>
      <c r="BL31" s="139" t="e">
        <f>AZ31</f>
        <v>#REF!</v>
      </c>
      <c r="BM31" s="136" t="e">
        <f t="shared" ref="BM31:CD31" si="78">BM35+BM105</f>
        <v>#REF!</v>
      </c>
      <c r="BN31" s="136" t="e">
        <f t="shared" si="78"/>
        <v>#REF!</v>
      </c>
      <c r="BO31" s="136" t="e">
        <f t="shared" si="78"/>
        <v>#REF!</v>
      </c>
      <c r="BP31" s="136" t="e">
        <f t="shared" si="78"/>
        <v>#REF!</v>
      </c>
      <c r="BQ31" s="136" t="e">
        <f t="shared" si="78"/>
        <v>#REF!</v>
      </c>
      <c r="BR31" s="136" t="e">
        <f t="shared" si="78"/>
        <v>#REF!</v>
      </c>
      <c r="BS31" s="136" t="e">
        <f t="shared" si="78"/>
        <v>#REF!</v>
      </c>
      <c r="BT31" s="136" t="e">
        <f t="shared" si="78"/>
        <v>#REF!</v>
      </c>
      <c r="BU31" s="136" t="e">
        <f t="shared" si="78"/>
        <v>#REF!</v>
      </c>
      <c r="BV31" s="136" t="e">
        <f t="shared" si="78"/>
        <v>#REF!</v>
      </c>
      <c r="BW31" s="136" t="e">
        <f t="shared" si="78"/>
        <v>#REF!</v>
      </c>
      <c r="BX31" s="136" t="e">
        <f t="shared" si="78"/>
        <v>#REF!</v>
      </c>
      <c r="BY31" s="136" t="e">
        <f t="shared" si="78"/>
        <v>#REF!</v>
      </c>
      <c r="BZ31" s="136" t="e">
        <f t="shared" si="78"/>
        <v>#REF!</v>
      </c>
      <c r="CA31" s="136" t="e">
        <f t="shared" si="78"/>
        <v>#REF!</v>
      </c>
      <c r="CB31" s="136" t="e">
        <f t="shared" si="78"/>
        <v>#REF!</v>
      </c>
      <c r="CC31" s="136" t="e">
        <f t="shared" si="78"/>
        <v>#REF!</v>
      </c>
      <c r="CD31" s="136" t="e">
        <f t="shared" si="78"/>
        <v>#REF!</v>
      </c>
      <c r="CE31" s="139">
        <v>1</v>
      </c>
      <c r="CF31" s="139" t="e">
        <f>BW31</f>
        <v>#REF!</v>
      </c>
      <c r="CG31" s="136"/>
      <c r="CH31" s="136" t="e">
        <f t="shared" ref="CH31:EF31" si="79">CH35+CH105</f>
        <v>#REF!</v>
      </c>
      <c r="CI31" s="136" t="e">
        <f t="shared" si="79"/>
        <v>#REF!</v>
      </c>
      <c r="CJ31" s="136" t="e">
        <f t="shared" si="79"/>
        <v>#REF!</v>
      </c>
      <c r="CK31" s="136" t="e">
        <f t="shared" si="79"/>
        <v>#REF!</v>
      </c>
      <c r="CL31" s="136" t="e">
        <f t="shared" si="79"/>
        <v>#REF!</v>
      </c>
      <c r="CM31" s="136" t="e">
        <f t="shared" si="79"/>
        <v>#REF!</v>
      </c>
      <c r="CN31" s="136" t="e">
        <f t="shared" si="79"/>
        <v>#REF!</v>
      </c>
      <c r="CO31" s="136" t="e">
        <f t="shared" si="79"/>
        <v>#REF!</v>
      </c>
      <c r="CP31" s="136" t="e">
        <f t="shared" si="79"/>
        <v>#REF!</v>
      </c>
      <c r="CQ31" s="136" t="e">
        <f t="shared" si="79"/>
        <v>#REF!</v>
      </c>
      <c r="CR31" s="136" t="e">
        <f t="shared" si="79"/>
        <v>#REF!</v>
      </c>
      <c r="CS31" s="136" t="e">
        <f t="shared" si="79"/>
        <v>#REF!</v>
      </c>
      <c r="CT31" s="136" t="e">
        <f t="shared" si="79"/>
        <v>#REF!</v>
      </c>
      <c r="CU31" s="136" t="e">
        <f t="shared" si="79"/>
        <v>#REF!</v>
      </c>
      <c r="CV31" s="136" t="e">
        <f t="shared" si="79"/>
        <v>#REF!</v>
      </c>
      <c r="CW31" s="136">
        <f t="shared" si="79"/>
        <v>571001.16662999988</v>
      </c>
      <c r="CX31" s="136">
        <f t="shared" si="79"/>
        <v>571001.16662999988</v>
      </c>
      <c r="CY31" s="136">
        <f t="shared" si="79"/>
        <v>0</v>
      </c>
      <c r="CZ31" s="136">
        <f t="shared" si="79"/>
        <v>904774.69400000002</v>
      </c>
      <c r="DA31" s="136">
        <f t="shared" si="79"/>
        <v>904774.69400000002</v>
      </c>
      <c r="DB31" s="136">
        <f t="shared" si="79"/>
        <v>0</v>
      </c>
      <c r="DC31" s="136">
        <f t="shared" si="79"/>
        <v>0</v>
      </c>
      <c r="DD31" s="136">
        <f t="shared" si="79"/>
        <v>0</v>
      </c>
      <c r="DE31" s="136">
        <f t="shared" si="79"/>
        <v>0</v>
      </c>
      <c r="DF31" s="136">
        <f t="shared" si="79"/>
        <v>-234516.68966</v>
      </c>
      <c r="DG31" s="136">
        <f t="shared" si="79"/>
        <v>-234516.68966</v>
      </c>
      <c r="DH31" s="136">
        <f t="shared" si="79"/>
        <v>0</v>
      </c>
      <c r="DI31" s="136">
        <f t="shared" si="79"/>
        <v>336484.47696999996</v>
      </c>
      <c r="DJ31" s="136">
        <f t="shared" si="79"/>
        <v>336484.47696999996</v>
      </c>
      <c r="DK31" s="136">
        <f t="shared" si="79"/>
        <v>0</v>
      </c>
      <c r="DL31" s="136">
        <f t="shared" si="79"/>
        <v>395001.41292999999</v>
      </c>
      <c r="DM31" s="136">
        <f t="shared" si="79"/>
        <v>395001.41292999999</v>
      </c>
      <c r="DN31" s="136">
        <f t="shared" si="79"/>
        <v>0</v>
      </c>
      <c r="DO31" s="136">
        <f t="shared" si="79"/>
        <v>4746.4650799999999</v>
      </c>
      <c r="DP31" s="136">
        <f t="shared" si="79"/>
        <v>4746.4650799999999</v>
      </c>
      <c r="DQ31" s="136">
        <f t="shared" si="79"/>
        <v>0</v>
      </c>
      <c r="DR31" s="136">
        <f t="shared" si="79"/>
        <v>-63263.401039999982</v>
      </c>
      <c r="DS31" s="136">
        <f t="shared" si="79"/>
        <v>-63263.401039999982</v>
      </c>
      <c r="DT31" s="136">
        <f t="shared" si="79"/>
        <v>0</v>
      </c>
      <c r="DU31" s="136">
        <f t="shared" si="79"/>
        <v>1047271</v>
      </c>
      <c r="DV31" s="136">
        <f t="shared" si="79"/>
        <v>1047271</v>
      </c>
      <c r="DW31" s="136">
        <f t="shared" si="79"/>
        <v>0</v>
      </c>
      <c r="DX31" s="136">
        <f t="shared" si="79"/>
        <v>1324129.4391999999</v>
      </c>
      <c r="DY31" s="136">
        <f t="shared" si="79"/>
        <v>1324129.4391999999</v>
      </c>
      <c r="DZ31" s="136">
        <f t="shared" si="79"/>
        <v>0</v>
      </c>
      <c r="EA31" s="136">
        <f t="shared" si="79"/>
        <v>0</v>
      </c>
      <c r="EB31" s="136">
        <f t="shared" si="79"/>
        <v>0</v>
      </c>
      <c r="EC31" s="136">
        <f t="shared" si="79"/>
        <v>0</v>
      </c>
      <c r="ED31" s="136">
        <f t="shared" si="79"/>
        <v>-442424.50745999999</v>
      </c>
      <c r="EE31" s="136">
        <f t="shared" si="79"/>
        <v>-442424.50745999999</v>
      </c>
      <c r="EF31" s="136">
        <f t="shared" si="79"/>
        <v>0</v>
      </c>
      <c r="EG31" s="136">
        <f>EH31</f>
        <v>3980290.4924699999</v>
      </c>
      <c r="EH31" s="136">
        <f>EH35+EH105</f>
        <v>3980290.4924699999</v>
      </c>
      <c r="EI31" s="136"/>
      <c r="EJ31" s="136">
        <f>EJ35+EJ105</f>
        <v>0</v>
      </c>
      <c r="EK31" s="136">
        <f>EL31</f>
        <v>-104665.19744999999</v>
      </c>
      <c r="EL31" s="136">
        <f>EL35+EL105</f>
        <v>-104665.19744999999</v>
      </c>
      <c r="EM31" s="136"/>
      <c r="EN31" s="136">
        <f>EN35+EN105</f>
        <v>0</v>
      </c>
      <c r="EO31" s="136">
        <f>EO35+EO105</f>
        <v>0</v>
      </c>
      <c r="EP31" s="136">
        <f>EP35+EP105</f>
        <v>0</v>
      </c>
      <c r="EQ31" s="136"/>
      <c r="ER31" s="136">
        <f>ER35+ER105</f>
        <v>0</v>
      </c>
      <c r="ES31" s="136">
        <f>ET31</f>
        <v>249043.46570999999</v>
      </c>
      <c r="ET31" s="136">
        <f>ET35+ET105</f>
        <v>249043.46570999999</v>
      </c>
      <c r="EU31" s="136"/>
      <c r="EV31" s="136">
        <f t="shared" ref="EV31:FB31" si="80">EV35+EV105</f>
        <v>0</v>
      </c>
      <c r="EW31" s="136">
        <f t="shared" si="80"/>
        <v>1602678.6842</v>
      </c>
      <c r="EX31" s="136">
        <f t="shared" si="80"/>
        <v>1602678.6842</v>
      </c>
      <c r="EY31" s="136">
        <f t="shared" si="80"/>
        <v>0</v>
      </c>
      <c r="EZ31" s="136">
        <f t="shared" si="80"/>
        <v>-991709.90079999994</v>
      </c>
      <c r="FA31" s="136">
        <f t="shared" si="80"/>
        <v>-991709.90079999994</v>
      </c>
      <c r="FB31" s="136">
        <f t="shared" si="80"/>
        <v>0</v>
      </c>
      <c r="FC31" s="134">
        <f>FD31</f>
        <v>4807645.9483400006</v>
      </c>
      <c r="FD31" s="134">
        <f>FD35+FD105</f>
        <v>4807645.9483400006</v>
      </c>
      <c r="FE31" s="134"/>
      <c r="FF31" s="134">
        <f>FF35+FF105</f>
        <v>0</v>
      </c>
      <c r="FG31" s="134">
        <f>FH31</f>
        <v>42156.203790000007</v>
      </c>
      <c r="FH31" s="134">
        <f>FH35+FH105</f>
        <v>42156.203790000007</v>
      </c>
      <c r="FI31" s="134"/>
      <c r="FJ31" s="134">
        <f>FJ35+FJ105</f>
        <v>0</v>
      </c>
      <c r="FK31" s="134">
        <f>FK35+FK105</f>
        <v>0</v>
      </c>
      <c r="FL31" s="134">
        <f>FL35+FL105</f>
        <v>0</v>
      </c>
      <c r="FM31" s="134"/>
      <c r="FN31" s="134">
        <f>FN35+FN105</f>
        <v>0</v>
      </c>
      <c r="FO31" s="134">
        <f>FP31</f>
        <v>4047502.1521300003</v>
      </c>
      <c r="FP31" s="134">
        <f>FP35+FP105</f>
        <v>4047502.1521300003</v>
      </c>
      <c r="FQ31" s="134"/>
      <c r="FR31" s="134">
        <f>FR35+FR105</f>
        <v>0</v>
      </c>
      <c r="FS31" s="84">
        <f t="shared" si="57"/>
        <v>3445752.8185900003</v>
      </c>
      <c r="FT31" s="486">
        <f t="shared" ref="FT31:FT97" si="81">FS31/FC31</f>
        <v>0.71672349744884201</v>
      </c>
      <c r="FU31" s="134">
        <f>FU35+FU105</f>
        <v>3445752.8185900003</v>
      </c>
      <c r="FV31" s="486">
        <f t="shared" ref="FV31:FV97" si="82">FU31/FD31</f>
        <v>0.71672349744884201</v>
      </c>
      <c r="FW31" s="62"/>
      <c r="FX31" s="661"/>
      <c r="FY31" s="134"/>
      <c r="FZ31" s="661"/>
      <c r="GA31" s="134">
        <f t="shared" ref="GA31:GA97" si="83">GC31+GE31+GG31</f>
        <v>2972376.9912700001</v>
      </c>
      <c r="GB31" s="486">
        <f t="shared" ref="GB31:GB97" si="84">GA31/FC31</f>
        <v>0.61826037591148153</v>
      </c>
      <c r="GC31" s="134">
        <f>GC35+GC105</f>
        <v>2972376.9912700001</v>
      </c>
      <c r="GD31" s="486">
        <f t="shared" ref="GD31:GD97" si="85">GC31/FD31</f>
        <v>0.61826037591148153</v>
      </c>
      <c r="GE31" s="136"/>
      <c r="GF31" s="552"/>
      <c r="GG31" s="136"/>
      <c r="GH31" s="552"/>
      <c r="GI31" s="84">
        <f>GK31+GM31+GO31</f>
        <v>4222062.57981</v>
      </c>
      <c r="GJ31" s="486">
        <f t="shared" ref="GJ31:GJ97" si="86">GI31/FC31</f>
        <v>0.87819748483513171</v>
      </c>
      <c r="GK31" s="84">
        <f>GK35+GK105</f>
        <v>4222062.57981</v>
      </c>
      <c r="GL31" s="486">
        <f t="shared" ref="GL31:GL97" si="87">GK31/FD31</f>
        <v>0.87819748483513171</v>
      </c>
      <c r="GM31" s="84">
        <v>0</v>
      </c>
      <c r="GN31" s="486">
        <v>0</v>
      </c>
      <c r="GO31" s="84">
        <f>GO35+GO105</f>
        <v>0</v>
      </c>
      <c r="GP31" s="486">
        <v>0</v>
      </c>
      <c r="GQ31" s="136"/>
      <c r="GR31" s="136"/>
      <c r="GS31" s="136"/>
      <c r="GT31" s="136"/>
      <c r="GU31" s="136">
        <f>GV31</f>
        <v>4207679.8295</v>
      </c>
      <c r="GV31" s="136">
        <f>GV35+GV105</f>
        <v>4207679.8295</v>
      </c>
      <c r="GW31" s="136"/>
      <c r="GX31" s="136">
        <f>GX35+GX105</f>
        <v>0</v>
      </c>
      <c r="GY31" s="136"/>
      <c r="GZ31" s="136"/>
      <c r="HA31" s="136"/>
      <c r="HB31" s="136"/>
      <c r="HC31" s="136"/>
      <c r="HD31" s="136"/>
      <c r="HE31" s="136"/>
      <c r="HF31" s="136"/>
      <c r="HG31" s="136">
        <f>HH31</f>
        <v>-983000</v>
      </c>
      <c r="HH31" s="136">
        <f>HH35+HH105</f>
        <v>-983000</v>
      </c>
      <c r="HI31" s="136"/>
      <c r="HJ31" s="136">
        <f>HJ35+HJ105</f>
        <v>0</v>
      </c>
      <c r="HK31" s="136" t="e">
        <f>HK35+HK105</f>
        <v>#REF!</v>
      </c>
      <c r="HL31" s="136" t="e">
        <f>HL35+HL105</f>
        <v>#REF!</v>
      </c>
      <c r="HM31" s="136"/>
      <c r="HN31" s="136">
        <f>HN35+HN105</f>
        <v>0</v>
      </c>
      <c r="HO31" s="136">
        <f>HP31</f>
        <v>3224679.8295</v>
      </c>
      <c r="HP31" s="136">
        <f>HP35+HP105</f>
        <v>3224679.8295</v>
      </c>
      <c r="HQ31" s="136"/>
      <c r="HR31" s="136">
        <f>HR35+HR105</f>
        <v>0</v>
      </c>
      <c r="HS31" s="136">
        <f>HT31</f>
        <v>2359654.3295</v>
      </c>
      <c r="HT31" s="136">
        <f>HT35+HT105</f>
        <v>2359654.3295</v>
      </c>
      <c r="HU31" s="136"/>
      <c r="HV31" s="136">
        <f>HV35+HV105</f>
        <v>0</v>
      </c>
      <c r="HW31" s="136">
        <f>HW35+HW105</f>
        <v>2152470</v>
      </c>
      <c r="HX31" s="136">
        <f>HX35+HX105</f>
        <v>2152470</v>
      </c>
      <c r="HY31" s="136"/>
      <c r="HZ31" s="136">
        <f>HZ35+HZ105</f>
        <v>0</v>
      </c>
      <c r="IA31" s="136">
        <f>IB31</f>
        <v>4512124.3295</v>
      </c>
      <c r="IB31" s="136">
        <f>IB35+IB105</f>
        <v>4512124.3295</v>
      </c>
      <c r="IC31" s="136"/>
      <c r="ID31" s="136">
        <f>ID35+ID105</f>
        <v>0</v>
      </c>
      <c r="IE31" s="553"/>
      <c r="IF31" s="217"/>
      <c r="IG31" s="217"/>
      <c r="IH31" s="217"/>
    </row>
    <row r="32" spans="2:249" s="202" customFormat="1" ht="41.25" customHeight="1" x14ac:dyDescent="0.25">
      <c r="B32" s="100"/>
      <c r="C32" s="101" t="s">
        <v>131</v>
      </c>
      <c r="D32" s="102"/>
      <c r="E32" s="103"/>
      <c r="F32" s="104"/>
      <c r="G32" s="104"/>
      <c r="H32" s="103"/>
      <c r="I32" s="104"/>
      <c r="J32" s="104"/>
      <c r="K32" s="103"/>
      <c r="L32" s="104"/>
      <c r="M32" s="104"/>
      <c r="N32" s="103"/>
      <c r="O32" s="104"/>
      <c r="P32" s="104"/>
      <c r="Q32" s="105"/>
      <c r="R32" s="106"/>
      <c r="S32" s="106"/>
      <c r="T32" s="105"/>
      <c r="U32" s="106"/>
      <c r="V32" s="106"/>
      <c r="W32" s="105"/>
      <c r="X32" s="106"/>
      <c r="Y32" s="106"/>
      <c r="Z32" s="105"/>
      <c r="AA32" s="106"/>
      <c r="AB32" s="106"/>
      <c r="AC32" s="106"/>
      <c r="AD32" s="106"/>
      <c r="AE32" s="106"/>
      <c r="AF32" s="106"/>
      <c r="AG32" s="106"/>
      <c r="AH32" s="106"/>
      <c r="AI32" s="106"/>
      <c r="AJ32" s="106"/>
      <c r="AK32" s="106"/>
      <c r="AL32" s="106"/>
      <c r="AM32" s="111"/>
      <c r="AN32" s="108"/>
      <c r="AO32" s="109"/>
      <c r="AP32" s="106"/>
      <c r="AQ32" s="106"/>
      <c r="AR32" s="106"/>
      <c r="AS32" s="105"/>
      <c r="AT32" s="106"/>
      <c r="AU32" s="106"/>
      <c r="AV32" s="105"/>
      <c r="AW32" s="106"/>
      <c r="AX32" s="106"/>
      <c r="AY32" s="105"/>
      <c r="AZ32" s="106"/>
      <c r="BA32" s="106"/>
      <c r="BB32" s="105"/>
      <c r="BC32" s="106"/>
      <c r="BD32" s="106"/>
      <c r="BE32" s="105"/>
      <c r="BF32" s="106"/>
      <c r="BG32" s="106"/>
      <c r="BH32" s="105"/>
      <c r="BI32" s="106"/>
      <c r="BJ32" s="106"/>
      <c r="BK32" s="110"/>
      <c r="BL32" s="106"/>
      <c r="BM32" s="106"/>
      <c r="BN32" s="106"/>
      <c r="BO32" s="106"/>
      <c r="BP32" s="106"/>
      <c r="BQ32" s="106"/>
      <c r="BR32" s="106"/>
      <c r="BS32" s="106"/>
      <c r="BT32" s="106"/>
      <c r="BU32" s="106"/>
      <c r="BV32" s="105"/>
      <c r="BW32" s="106"/>
      <c r="BX32" s="106"/>
      <c r="BY32" s="105"/>
      <c r="BZ32" s="106"/>
      <c r="CA32" s="106"/>
      <c r="CB32" s="105"/>
      <c r="CC32" s="106"/>
      <c r="CD32" s="106"/>
      <c r="CE32" s="106"/>
      <c r="CF32" s="106"/>
      <c r="CG32" s="111"/>
      <c r="CH32" s="105"/>
      <c r="CI32" s="106"/>
      <c r="CJ32" s="106"/>
      <c r="CK32" s="105"/>
      <c r="CL32" s="106"/>
      <c r="CM32" s="106"/>
      <c r="CN32" s="106"/>
      <c r="CO32" s="106"/>
      <c r="CP32" s="106"/>
      <c r="CQ32" s="105"/>
      <c r="CR32" s="106"/>
      <c r="CS32" s="106"/>
      <c r="CT32" s="105"/>
      <c r="CU32" s="106"/>
      <c r="CV32" s="106"/>
      <c r="CW32" s="105"/>
      <c r="CX32" s="106"/>
      <c r="CY32" s="106"/>
      <c r="CZ32" s="105"/>
      <c r="DA32" s="106"/>
      <c r="DB32" s="106"/>
      <c r="DC32" s="106"/>
      <c r="DD32" s="106"/>
      <c r="DE32" s="106"/>
      <c r="DF32" s="105"/>
      <c r="DG32" s="106"/>
      <c r="DH32" s="106"/>
      <c r="DI32" s="105"/>
      <c r="DJ32" s="106"/>
      <c r="DK32" s="106"/>
      <c r="DL32" s="105"/>
      <c r="DM32" s="106"/>
      <c r="DN32" s="106"/>
      <c r="DO32" s="105"/>
      <c r="DP32" s="106"/>
      <c r="DQ32" s="106"/>
      <c r="DR32" s="105"/>
      <c r="DS32" s="106"/>
      <c r="DT32" s="106"/>
      <c r="DU32" s="105"/>
      <c r="DV32" s="106"/>
      <c r="DW32" s="106"/>
      <c r="DX32" s="105"/>
      <c r="DY32" s="106"/>
      <c r="DZ32" s="106"/>
      <c r="EA32" s="106"/>
      <c r="EB32" s="106"/>
      <c r="EC32" s="106"/>
      <c r="ED32" s="105"/>
      <c r="EE32" s="106"/>
      <c r="EF32" s="106"/>
      <c r="EG32" s="106">
        <f>EH32</f>
        <v>1280290.4924699999</v>
      </c>
      <c r="EH32" s="106">
        <f>EH36+EH106</f>
        <v>1280290.4924699999</v>
      </c>
      <c r="EI32" s="106"/>
      <c r="EJ32" s="106"/>
      <c r="EK32" s="106">
        <f>EL32</f>
        <v>-104665.19744999999</v>
      </c>
      <c r="EL32" s="106">
        <f>EL36+EL106</f>
        <v>-104665.19744999999</v>
      </c>
      <c r="EM32" s="106"/>
      <c r="EN32" s="106"/>
      <c r="EO32" s="105"/>
      <c r="EP32" s="106"/>
      <c r="EQ32" s="106"/>
      <c r="ER32" s="106"/>
      <c r="ES32" s="106">
        <f>ET32</f>
        <v>249043.46570999999</v>
      </c>
      <c r="ET32" s="106">
        <f>ET36+ET106</f>
        <v>249043.46570999999</v>
      </c>
      <c r="EU32" s="106"/>
      <c r="EV32" s="106"/>
      <c r="EW32" s="105"/>
      <c r="EX32" s="106"/>
      <c r="EY32" s="106"/>
      <c r="EZ32" s="105"/>
      <c r="FA32" s="106"/>
      <c r="FB32" s="106"/>
      <c r="FC32" s="104">
        <f t="shared" ref="FC32:FC38" si="88">FD32</f>
        <v>1657645.9483400001</v>
      </c>
      <c r="FD32" s="104">
        <f>FD36+FD106</f>
        <v>1657645.9483400001</v>
      </c>
      <c r="FE32" s="104"/>
      <c r="FF32" s="104"/>
      <c r="FG32" s="104">
        <f>FH32</f>
        <v>142156.20379</v>
      </c>
      <c r="FH32" s="104">
        <f>FH36+FH106</f>
        <v>142156.20379</v>
      </c>
      <c r="FI32" s="104"/>
      <c r="FJ32" s="104"/>
      <c r="FK32" s="103"/>
      <c r="FL32" s="104"/>
      <c r="FM32" s="104"/>
      <c r="FN32" s="104"/>
      <c r="FO32" s="104">
        <f>FP32</f>
        <v>1697502.1521300003</v>
      </c>
      <c r="FP32" s="104">
        <f>FP36+FP106</f>
        <v>1697502.1521300003</v>
      </c>
      <c r="FQ32" s="104"/>
      <c r="FR32" s="104"/>
      <c r="FS32" s="629">
        <f t="shared" si="57"/>
        <v>1249795.4869400002</v>
      </c>
      <c r="FT32" s="595">
        <f t="shared" si="81"/>
        <v>0.75395803801865557</v>
      </c>
      <c r="FU32" s="104">
        <f>FU36+FU106</f>
        <v>1249795.4869400002</v>
      </c>
      <c r="FV32" s="595">
        <f t="shared" si="82"/>
        <v>0.75395803801865557</v>
      </c>
      <c r="FW32" s="522"/>
      <c r="FX32" s="666"/>
      <c r="FY32" s="104"/>
      <c r="FZ32" s="666"/>
      <c r="GA32" s="104">
        <f t="shared" si="83"/>
        <v>986633.27736000018</v>
      </c>
      <c r="GB32" s="595">
        <f t="shared" si="84"/>
        <v>0.59520145321021933</v>
      </c>
      <c r="GC32" s="104">
        <f>GC36+GC106</f>
        <v>986633.27736000018</v>
      </c>
      <c r="GD32" s="595">
        <f t="shared" si="85"/>
        <v>0.59520145321021933</v>
      </c>
      <c r="GE32" s="106"/>
      <c r="GF32" s="514"/>
      <c r="GG32" s="106"/>
      <c r="GH32" s="514"/>
      <c r="GI32" s="629">
        <f>GK32+GM32+GO32</f>
        <v>1461562.5798100003</v>
      </c>
      <c r="GJ32" s="595">
        <f t="shared" si="86"/>
        <v>0.88170974101775978</v>
      </c>
      <c r="GK32" s="629">
        <f>GK36+GK106</f>
        <v>1461562.5798100003</v>
      </c>
      <c r="GL32" s="595">
        <f t="shared" si="87"/>
        <v>0.88170974101775978</v>
      </c>
      <c r="GM32" s="629">
        <f>GM292+GM361</f>
        <v>0</v>
      </c>
      <c r="GN32" s="595">
        <v>0</v>
      </c>
      <c r="GO32" s="629">
        <v>0</v>
      </c>
      <c r="GP32" s="595">
        <v>0</v>
      </c>
      <c r="GQ32" s="106"/>
      <c r="GR32" s="106"/>
      <c r="GS32" s="106"/>
      <c r="GT32" s="106"/>
      <c r="GU32" s="106">
        <f>GV32</f>
        <v>1507679.8295</v>
      </c>
      <c r="GV32" s="106">
        <f>GV36+GV106</f>
        <v>1507679.8295</v>
      </c>
      <c r="GW32" s="106"/>
      <c r="GX32" s="106"/>
      <c r="GY32" s="106"/>
      <c r="GZ32" s="106"/>
      <c r="HA32" s="106"/>
      <c r="HB32" s="106"/>
      <c r="HC32" s="106"/>
      <c r="HD32" s="106"/>
      <c r="HE32" s="106"/>
      <c r="HF32" s="106"/>
      <c r="HG32" s="106">
        <f>HH32</f>
        <v>0</v>
      </c>
      <c r="HH32" s="106">
        <f>HH36+HH106</f>
        <v>0</v>
      </c>
      <c r="HI32" s="106"/>
      <c r="HJ32" s="106"/>
      <c r="HK32" s="106" t="e">
        <f>HL32</f>
        <v>#REF!</v>
      </c>
      <c r="HL32" s="106" t="e">
        <f>HL36+HL106</f>
        <v>#REF!</v>
      </c>
      <c r="HM32" s="106"/>
      <c r="HN32" s="106"/>
      <c r="HO32" s="106">
        <f>HP32</f>
        <v>1507679.8295</v>
      </c>
      <c r="HP32" s="106">
        <f>HP36+HP106</f>
        <v>1507679.8295</v>
      </c>
      <c r="HQ32" s="106"/>
      <c r="HR32" s="106"/>
      <c r="HS32" s="106">
        <f>HT32</f>
        <v>2359654.3295</v>
      </c>
      <c r="HT32" s="106">
        <f>HT36+HT106</f>
        <v>2359654.3295</v>
      </c>
      <c r="HU32" s="106"/>
      <c r="HV32" s="106"/>
      <c r="HW32" s="106">
        <f>HX32</f>
        <v>0</v>
      </c>
      <c r="HX32" s="106">
        <f>HX36+HX106</f>
        <v>0</v>
      </c>
      <c r="HY32" s="106"/>
      <c r="HZ32" s="106"/>
      <c r="IA32" s="106">
        <f>IB32</f>
        <v>2359654.3295</v>
      </c>
      <c r="IB32" s="106">
        <f>IB36+IB106</f>
        <v>2359654.3295</v>
      </c>
      <c r="IC32" s="106"/>
      <c r="ID32" s="106"/>
      <c r="IE32" s="112"/>
      <c r="IF32" s="113"/>
      <c r="IG32" s="113"/>
      <c r="IH32" s="113"/>
    </row>
    <row r="33" spans="2:249" s="127" customFormat="1" ht="46.5" customHeight="1" x14ac:dyDescent="0.25">
      <c r="B33" s="115"/>
      <c r="C33" s="116" t="s">
        <v>132</v>
      </c>
      <c r="D33" s="117"/>
      <c r="E33" s="118"/>
      <c r="F33" s="118"/>
      <c r="G33" s="118"/>
      <c r="H33" s="118"/>
      <c r="I33" s="118"/>
      <c r="J33" s="118"/>
      <c r="K33" s="118"/>
      <c r="L33" s="118"/>
      <c r="M33" s="118"/>
      <c r="N33" s="118"/>
      <c r="O33" s="118"/>
      <c r="P33" s="118"/>
      <c r="Q33" s="119"/>
      <c r="R33" s="119"/>
      <c r="S33" s="119"/>
      <c r="T33" s="119"/>
      <c r="U33" s="119"/>
      <c r="V33" s="119"/>
      <c r="W33" s="119"/>
      <c r="X33" s="119"/>
      <c r="Y33" s="119"/>
      <c r="Z33" s="119"/>
      <c r="AA33" s="119"/>
      <c r="AB33" s="119"/>
      <c r="AC33" s="119"/>
      <c r="AD33" s="119"/>
      <c r="AE33" s="119"/>
      <c r="AF33" s="119"/>
      <c r="AG33" s="119"/>
      <c r="AH33" s="119"/>
      <c r="AI33" s="120"/>
      <c r="AJ33" s="119"/>
      <c r="AK33" s="119"/>
      <c r="AL33" s="119"/>
      <c r="AM33" s="121"/>
      <c r="AN33" s="119"/>
      <c r="AO33" s="122"/>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23"/>
      <c r="BL33" s="124"/>
      <c r="BM33" s="124"/>
      <c r="BN33" s="124"/>
      <c r="BO33" s="124"/>
      <c r="BP33" s="124"/>
      <c r="BQ33" s="124"/>
      <c r="BR33" s="124"/>
      <c r="BS33" s="124"/>
      <c r="BT33" s="124"/>
      <c r="BU33" s="124"/>
      <c r="BV33" s="119"/>
      <c r="BW33" s="119"/>
      <c r="BX33" s="119"/>
      <c r="BY33" s="119"/>
      <c r="BZ33" s="119"/>
      <c r="CA33" s="119"/>
      <c r="CB33" s="119"/>
      <c r="CC33" s="119"/>
      <c r="CD33" s="119"/>
      <c r="CE33" s="124"/>
      <c r="CF33" s="124"/>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f>EH33</f>
        <v>2700000</v>
      </c>
      <c r="EH33" s="119">
        <f>EH37+EH107</f>
        <v>2700000</v>
      </c>
      <c r="EI33" s="119"/>
      <c r="EJ33" s="119"/>
      <c r="EK33" s="119">
        <f>EL33</f>
        <v>0</v>
      </c>
      <c r="EL33" s="119">
        <f>EL37+EL107</f>
        <v>0</v>
      </c>
      <c r="EM33" s="119"/>
      <c r="EN33" s="119"/>
      <c r="EO33" s="119"/>
      <c r="EP33" s="119"/>
      <c r="EQ33" s="119"/>
      <c r="ER33" s="119"/>
      <c r="ES33" s="119">
        <f>ET33</f>
        <v>0</v>
      </c>
      <c r="ET33" s="119">
        <f>ET37+ET107</f>
        <v>0</v>
      </c>
      <c r="EU33" s="119"/>
      <c r="EV33" s="119"/>
      <c r="EW33" s="119"/>
      <c r="EX33" s="119"/>
      <c r="EY33" s="119"/>
      <c r="EZ33" s="119"/>
      <c r="FA33" s="119"/>
      <c r="FB33" s="119"/>
      <c r="FC33" s="118">
        <f t="shared" si="88"/>
        <v>3150000</v>
      </c>
      <c r="FD33" s="118">
        <f>FD37+FD107</f>
        <v>3150000</v>
      </c>
      <c r="FE33" s="118"/>
      <c r="FF33" s="118"/>
      <c r="FG33" s="118">
        <f>FH33</f>
        <v>-100000</v>
      </c>
      <c r="FH33" s="118">
        <f>FH37+FH107</f>
        <v>-100000</v>
      </c>
      <c r="FI33" s="118"/>
      <c r="FJ33" s="118"/>
      <c r="FK33" s="118"/>
      <c r="FL33" s="118"/>
      <c r="FM33" s="118"/>
      <c r="FN33" s="118"/>
      <c r="FO33" s="118">
        <f>FP33</f>
        <v>2350000</v>
      </c>
      <c r="FP33" s="118">
        <f>FP37+FP107</f>
        <v>2350000</v>
      </c>
      <c r="FQ33" s="118"/>
      <c r="FR33" s="118"/>
      <c r="FS33" s="74">
        <f t="shared" si="57"/>
        <v>2195957.3316500001</v>
      </c>
      <c r="FT33" s="487">
        <f t="shared" si="81"/>
        <v>0.69712931163492065</v>
      </c>
      <c r="FU33" s="118">
        <f>FU37+FU107</f>
        <v>2195957.3316500001</v>
      </c>
      <c r="FV33" s="487">
        <f t="shared" si="82"/>
        <v>0.69712931163492065</v>
      </c>
      <c r="FW33" s="73"/>
      <c r="FX33" s="662"/>
      <c r="FY33" s="118"/>
      <c r="FZ33" s="662"/>
      <c r="GA33" s="118">
        <f t="shared" si="83"/>
        <v>1985743.7139099999</v>
      </c>
      <c r="GB33" s="487">
        <f t="shared" si="84"/>
        <v>0.63039482981269834</v>
      </c>
      <c r="GC33" s="118">
        <f>GC37+GC107</f>
        <v>1985743.7139099999</v>
      </c>
      <c r="GD33" s="487">
        <f t="shared" si="85"/>
        <v>0.63039482981269834</v>
      </c>
      <c r="GE33" s="119"/>
      <c r="GF33" s="513"/>
      <c r="GG33" s="119"/>
      <c r="GH33" s="513"/>
      <c r="GI33" s="74">
        <f>GK33+GM33+GO33</f>
        <v>2760500</v>
      </c>
      <c r="GJ33" s="487">
        <f t="shared" si="86"/>
        <v>0.87634920634920632</v>
      </c>
      <c r="GK33" s="74">
        <f>GK37+GK107</f>
        <v>2760500</v>
      </c>
      <c r="GL33" s="487">
        <f t="shared" si="87"/>
        <v>0.87634920634920632</v>
      </c>
      <c r="GM33" s="74">
        <f>GM293+GM362</f>
        <v>0</v>
      </c>
      <c r="GN33" s="487">
        <v>0</v>
      </c>
      <c r="GO33" s="74">
        <v>0</v>
      </c>
      <c r="GP33" s="487">
        <v>0</v>
      </c>
      <c r="GQ33" s="119"/>
      <c r="GR33" s="119"/>
      <c r="GS33" s="119"/>
      <c r="GT33" s="119"/>
      <c r="GU33" s="119">
        <f>GV33</f>
        <v>2700000</v>
      </c>
      <c r="GV33" s="119">
        <f>GV37+GV107</f>
        <v>2700000</v>
      </c>
      <c r="GW33" s="119"/>
      <c r="GX33" s="119"/>
      <c r="GY33" s="119"/>
      <c r="GZ33" s="119"/>
      <c r="HA33" s="119"/>
      <c r="HB33" s="119"/>
      <c r="HC33" s="119"/>
      <c r="HD33" s="119"/>
      <c r="HE33" s="119"/>
      <c r="HF33" s="119"/>
      <c r="HG33" s="119">
        <f>HH33</f>
        <v>-983000</v>
      </c>
      <c r="HH33" s="119">
        <f>HH37+HH107</f>
        <v>-983000</v>
      </c>
      <c r="HI33" s="119"/>
      <c r="HJ33" s="119"/>
      <c r="HK33" s="119">
        <f>HL33</f>
        <v>0</v>
      </c>
      <c r="HL33" s="119">
        <f>HL37+HL107</f>
        <v>0</v>
      </c>
      <c r="HM33" s="119"/>
      <c r="HN33" s="119"/>
      <c r="HO33" s="119">
        <f>HP33</f>
        <v>1717000</v>
      </c>
      <c r="HP33" s="119">
        <f>HP37+HP107</f>
        <v>1717000</v>
      </c>
      <c r="HQ33" s="119"/>
      <c r="HR33" s="119"/>
      <c r="HS33" s="119">
        <f>HT33</f>
        <v>0</v>
      </c>
      <c r="HT33" s="119">
        <f>HT37+HT107</f>
        <v>0</v>
      </c>
      <c r="HU33" s="119"/>
      <c r="HV33" s="119"/>
      <c r="HW33" s="119">
        <f>HX33</f>
        <v>2152470</v>
      </c>
      <c r="HX33" s="119">
        <f>HX37+HX107</f>
        <v>2152470</v>
      </c>
      <c r="HY33" s="119"/>
      <c r="HZ33" s="119"/>
      <c r="IA33" s="119">
        <f>IB33</f>
        <v>2152470</v>
      </c>
      <c r="IB33" s="119">
        <f>IB37+IB107</f>
        <v>2152470</v>
      </c>
      <c r="IC33" s="119"/>
      <c r="ID33" s="119"/>
      <c r="IE33" s="125"/>
      <c r="IF33" s="126"/>
      <c r="IG33" s="126"/>
      <c r="IH33" s="126"/>
    </row>
    <row r="34" spans="2:249" s="536" customFormat="1" ht="75" hidden="1" customHeight="1" x14ac:dyDescent="0.25">
      <c r="B34" s="537"/>
      <c r="C34" s="740" t="s">
        <v>477</v>
      </c>
      <c r="D34" s="741"/>
      <c r="E34" s="538"/>
      <c r="F34" s="538"/>
      <c r="G34" s="538"/>
      <c r="H34" s="538"/>
      <c r="I34" s="538"/>
      <c r="J34" s="538"/>
      <c r="K34" s="538"/>
      <c r="L34" s="538"/>
      <c r="M34" s="538"/>
      <c r="N34" s="538"/>
      <c r="O34" s="538"/>
      <c r="P34" s="538"/>
      <c r="Q34" s="539"/>
      <c r="R34" s="539"/>
      <c r="S34" s="539"/>
      <c r="T34" s="539"/>
      <c r="U34" s="539"/>
      <c r="V34" s="539"/>
      <c r="W34" s="539"/>
      <c r="X34" s="539"/>
      <c r="Y34" s="539"/>
      <c r="Z34" s="539"/>
      <c r="AA34" s="539"/>
      <c r="AB34" s="539"/>
      <c r="AC34" s="539"/>
      <c r="AD34" s="539"/>
      <c r="AE34" s="539"/>
      <c r="AF34" s="539"/>
      <c r="AG34" s="539"/>
      <c r="AH34" s="539"/>
      <c r="AI34" s="540"/>
      <c r="AJ34" s="539"/>
      <c r="AK34" s="539"/>
      <c r="AL34" s="539"/>
      <c r="AM34" s="541"/>
      <c r="AN34" s="539"/>
      <c r="AO34" s="542"/>
      <c r="AP34" s="539"/>
      <c r="AQ34" s="539"/>
      <c r="AR34" s="539"/>
      <c r="AS34" s="539"/>
      <c r="AT34" s="539"/>
      <c r="AU34" s="539"/>
      <c r="AV34" s="539"/>
      <c r="AW34" s="539"/>
      <c r="AX34" s="539"/>
      <c r="AY34" s="539"/>
      <c r="AZ34" s="539"/>
      <c r="BA34" s="539"/>
      <c r="BB34" s="539"/>
      <c r="BC34" s="539"/>
      <c r="BD34" s="539"/>
      <c r="BE34" s="539"/>
      <c r="BF34" s="539"/>
      <c r="BG34" s="539"/>
      <c r="BH34" s="539"/>
      <c r="BI34" s="539"/>
      <c r="BJ34" s="539"/>
      <c r="BK34" s="543"/>
      <c r="BL34" s="544"/>
      <c r="BM34" s="544"/>
      <c r="BN34" s="544"/>
      <c r="BO34" s="544"/>
      <c r="BP34" s="544"/>
      <c r="BQ34" s="544"/>
      <c r="BR34" s="544"/>
      <c r="BS34" s="544"/>
      <c r="BT34" s="544"/>
      <c r="BU34" s="544"/>
      <c r="BV34" s="539"/>
      <c r="BW34" s="539"/>
      <c r="BX34" s="539"/>
      <c r="BY34" s="539"/>
      <c r="BZ34" s="539"/>
      <c r="CA34" s="539"/>
      <c r="CB34" s="539"/>
      <c r="CC34" s="539"/>
      <c r="CD34" s="539"/>
      <c r="CE34" s="544"/>
      <c r="CF34" s="544"/>
      <c r="CG34" s="539"/>
      <c r="CH34" s="539"/>
      <c r="CI34" s="539"/>
      <c r="CJ34" s="539"/>
      <c r="CK34" s="539"/>
      <c r="CL34" s="539"/>
      <c r="CM34" s="539"/>
      <c r="CN34" s="539"/>
      <c r="CO34" s="539"/>
      <c r="CP34" s="539"/>
      <c r="CQ34" s="539"/>
      <c r="CR34" s="539"/>
      <c r="CS34" s="539"/>
      <c r="CT34" s="539"/>
      <c r="CU34" s="539"/>
      <c r="CV34" s="539"/>
      <c r="CW34" s="539"/>
      <c r="CX34" s="539"/>
      <c r="CY34" s="539"/>
      <c r="CZ34" s="539"/>
      <c r="DA34" s="539"/>
      <c r="DB34" s="539"/>
      <c r="DC34" s="539"/>
      <c r="DD34" s="539"/>
      <c r="DE34" s="539"/>
      <c r="DF34" s="539"/>
      <c r="DG34" s="539"/>
      <c r="DH34" s="539"/>
      <c r="DI34" s="539"/>
      <c r="DJ34" s="539"/>
      <c r="DK34" s="539"/>
      <c r="DL34" s="539"/>
      <c r="DM34" s="539"/>
      <c r="DN34" s="539"/>
      <c r="DO34" s="539"/>
      <c r="DP34" s="539"/>
      <c r="DQ34" s="539"/>
      <c r="DR34" s="539"/>
      <c r="DS34" s="539"/>
      <c r="DT34" s="539"/>
      <c r="DU34" s="539"/>
      <c r="DV34" s="539"/>
      <c r="DW34" s="539"/>
      <c r="DX34" s="539"/>
      <c r="DY34" s="539"/>
      <c r="DZ34" s="539"/>
      <c r="EA34" s="539"/>
      <c r="EB34" s="539"/>
      <c r="EC34" s="539"/>
      <c r="ED34" s="539"/>
      <c r="EE34" s="539"/>
      <c r="EF34" s="539"/>
      <c r="EG34" s="539"/>
      <c r="EH34" s="539"/>
      <c r="EI34" s="539"/>
      <c r="EJ34" s="539"/>
      <c r="EK34" s="539"/>
      <c r="EL34" s="539"/>
      <c r="EM34" s="539"/>
      <c r="EN34" s="539"/>
      <c r="EO34" s="539"/>
      <c r="EP34" s="539"/>
      <c r="EQ34" s="539"/>
      <c r="ER34" s="539"/>
      <c r="ES34" s="539"/>
      <c r="ET34" s="539"/>
      <c r="EU34" s="539"/>
      <c r="EV34" s="539"/>
      <c r="EW34" s="539"/>
      <c r="EX34" s="539"/>
      <c r="EY34" s="539"/>
      <c r="EZ34" s="539"/>
      <c r="FA34" s="539"/>
      <c r="FB34" s="539"/>
      <c r="FC34" s="538">
        <f t="shared" si="88"/>
        <v>0</v>
      </c>
      <c r="FD34" s="538">
        <f>FD38</f>
        <v>0</v>
      </c>
      <c r="FE34" s="538"/>
      <c r="FF34" s="538"/>
      <c r="FG34" s="538"/>
      <c r="FH34" s="538"/>
      <c r="FI34" s="538"/>
      <c r="FJ34" s="538"/>
      <c r="FK34" s="538"/>
      <c r="FL34" s="538"/>
      <c r="FM34" s="538"/>
      <c r="FN34" s="538"/>
      <c r="FO34" s="538"/>
      <c r="FP34" s="538"/>
      <c r="FQ34" s="538"/>
      <c r="FR34" s="538"/>
      <c r="FS34" s="530">
        <f>FU34</f>
        <v>261667.67939999999</v>
      </c>
      <c r="FT34" s="531">
        <v>0</v>
      </c>
      <c r="FU34" s="538">
        <f>FU38+FU108</f>
        <v>261667.67939999999</v>
      </c>
      <c r="FV34" s="531">
        <v>0</v>
      </c>
      <c r="FW34" s="529"/>
      <c r="FX34" s="663"/>
      <c r="FY34" s="538"/>
      <c r="FZ34" s="663"/>
      <c r="GA34" s="538">
        <v>0</v>
      </c>
      <c r="GB34" s="531">
        <v>0</v>
      </c>
      <c r="GC34" s="538">
        <v>0</v>
      </c>
      <c r="GD34" s="531">
        <v>0</v>
      </c>
      <c r="GE34" s="539"/>
      <c r="GF34" s="532"/>
      <c r="GG34" s="539"/>
      <c r="GH34" s="532"/>
      <c r="GI34" s="630">
        <v>0</v>
      </c>
      <c r="GJ34" s="531">
        <v>0</v>
      </c>
      <c r="GK34" s="630">
        <v>0</v>
      </c>
      <c r="GL34" s="531">
        <v>0</v>
      </c>
      <c r="GM34" s="630">
        <v>0</v>
      </c>
      <c r="GN34" s="531">
        <v>0</v>
      </c>
      <c r="GO34" s="630">
        <v>0</v>
      </c>
      <c r="GP34" s="531">
        <v>0</v>
      </c>
      <c r="GQ34" s="539"/>
      <c r="GR34" s="539"/>
      <c r="GS34" s="539"/>
      <c r="GT34" s="539"/>
      <c r="GU34" s="539"/>
      <c r="GV34" s="539"/>
      <c r="GW34" s="539"/>
      <c r="GX34" s="539"/>
      <c r="GY34" s="539"/>
      <c r="GZ34" s="539"/>
      <c r="HA34" s="539"/>
      <c r="HB34" s="539"/>
      <c r="HC34" s="539"/>
      <c r="HD34" s="539"/>
      <c r="HE34" s="539"/>
      <c r="HF34" s="539"/>
      <c r="HG34" s="539"/>
      <c r="HH34" s="539"/>
      <c r="HI34" s="539"/>
      <c r="HJ34" s="539"/>
      <c r="HK34" s="539"/>
      <c r="HL34" s="539"/>
      <c r="HM34" s="539"/>
      <c r="HN34" s="539"/>
      <c r="HO34" s="539"/>
      <c r="HP34" s="539"/>
      <c r="HQ34" s="539"/>
      <c r="HR34" s="539"/>
      <c r="HS34" s="539"/>
      <c r="HT34" s="539"/>
      <c r="HU34" s="539"/>
      <c r="HV34" s="539"/>
      <c r="HW34" s="539"/>
      <c r="HX34" s="539"/>
      <c r="HY34" s="539"/>
      <c r="HZ34" s="539"/>
      <c r="IA34" s="539"/>
      <c r="IB34" s="539"/>
      <c r="IC34" s="539"/>
      <c r="ID34" s="539"/>
      <c r="IE34" s="545"/>
      <c r="IF34" s="546"/>
      <c r="IG34" s="546"/>
      <c r="IH34" s="546"/>
    </row>
    <row r="35" spans="2:249" s="158" customFormat="1" ht="84.75" customHeight="1" x14ac:dyDescent="0.25">
      <c r="B35" s="100" t="s">
        <v>136</v>
      </c>
      <c r="C35" s="551" t="s">
        <v>137</v>
      </c>
      <c r="D35" s="102" t="s">
        <v>138</v>
      </c>
      <c r="E35" s="103" t="e">
        <f>F35+G35</f>
        <v>#REF!</v>
      </c>
      <c r="F35" s="103" t="e">
        <f>#REF!+#REF!</f>
        <v>#REF!</v>
      </c>
      <c r="G35" s="103" t="e">
        <f>#REF!+#REF!</f>
        <v>#REF!</v>
      </c>
      <c r="H35" s="103" t="e">
        <f>I35+J35</f>
        <v>#REF!</v>
      </c>
      <c r="I35" s="103" t="e">
        <f>#REF!+#REF!</f>
        <v>#REF!</v>
      </c>
      <c r="J35" s="103" t="e">
        <f>#REF!+#REF!</f>
        <v>#REF!</v>
      </c>
      <c r="K35" s="103" t="e">
        <f>L35+M35</f>
        <v>#REF!</v>
      </c>
      <c r="L35" s="103" t="e">
        <f>#REF!+#REF!</f>
        <v>#REF!</v>
      </c>
      <c r="M35" s="103" t="e">
        <f>#REF!+#REF!</f>
        <v>#REF!</v>
      </c>
      <c r="N35" s="103" t="e">
        <f>O35+P35</f>
        <v>#REF!</v>
      </c>
      <c r="O35" s="103" t="e">
        <f>#REF!+#REF!</f>
        <v>#REF!</v>
      </c>
      <c r="P35" s="103" t="e">
        <f>#REF!+#REF!</f>
        <v>#REF!</v>
      </c>
      <c r="Q35" s="105" t="e">
        <f>R35+S35</f>
        <v>#REF!</v>
      </c>
      <c r="R35" s="105" t="e">
        <f>#REF!+#REF!</f>
        <v>#REF!</v>
      </c>
      <c r="S35" s="105" t="e">
        <f>#REF!+#REF!</f>
        <v>#REF!</v>
      </c>
      <c r="T35" s="105" t="e">
        <f>U35+V35</f>
        <v>#REF!</v>
      </c>
      <c r="U35" s="105" t="e">
        <f>#REF!+#REF!</f>
        <v>#REF!</v>
      </c>
      <c r="V35" s="105" t="e">
        <f>#REF!+#REF!</f>
        <v>#REF!</v>
      </c>
      <c r="W35" s="105" t="e">
        <f>X35+Y35</f>
        <v>#REF!</v>
      </c>
      <c r="X35" s="105" t="e">
        <f>#REF!+#REF!</f>
        <v>#REF!</v>
      </c>
      <c r="Y35" s="105" t="e">
        <f>#REF!+#REF!</f>
        <v>#REF!</v>
      </c>
      <c r="Z35" s="105" t="e">
        <f>#REF!</f>
        <v>#REF!</v>
      </c>
      <c r="AA35" s="105" t="e">
        <f>#REF!</f>
        <v>#REF!</v>
      </c>
      <c r="AB35" s="105" t="e">
        <f>#REF!</f>
        <v>#REF!</v>
      </c>
      <c r="AC35" s="105" t="e">
        <f>#REF!</f>
        <v>#REF!</v>
      </c>
      <c r="AD35" s="105" t="e">
        <f>#REF!</f>
        <v>#REF!</v>
      </c>
      <c r="AE35" s="105" t="e">
        <f>#REF!</f>
        <v>#REF!</v>
      </c>
      <c r="AF35" s="105" t="e">
        <f>#REF!</f>
        <v>#REF!</v>
      </c>
      <c r="AG35" s="105" t="e">
        <f>#REF!</f>
        <v>#REF!</v>
      </c>
      <c r="AH35" s="105" t="e">
        <f>#REF!</f>
        <v>#REF!</v>
      </c>
      <c r="AI35" s="105" t="e">
        <f>#REF!</f>
        <v>#REF!</v>
      </c>
      <c r="AJ35" s="105" t="e">
        <f>#REF!</f>
        <v>#REF!</v>
      </c>
      <c r="AK35" s="106" t="e">
        <f>#REF!</f>
        <v>#REF!</v>
      </c>
      <c r="AL35" s="106" t="e">
        <f>#REF!</f>
        <v>#REF!</v>
      </c>
      <c r="AM35" s="111" t="e">
        <f>#REF!</f>
        <v>#REF!</v>
      </c>
      <c r="AN35" s="111" t="e">
        <f>#REF!</f>
        <v>#REF!</v>
      </c>
      <c r="AO35" s="109">
        <v>1</v>
      </c>
      <c r="AP35" s="105" t="e">
        <f>#REF!</f>
        <v>#REF!</v>
      </c>
      <c r="AQ35" s="105" t="e">
        <f>#REF!</f>
        <v>#REF!</v>
      </c>
      <c r="AR35" s="106" t="e">
        <f>#REF!</f>
        <v>#REF!</v>
      </c>
      <c r="AS35" s="105" t="e">
        <f>#REF!</f>
        <v>#REF!</v>
      </c>
      <c r="AT35" s="105" t="e">
        <f>#REF!</f>
        <v>#REF!</v>
      </c>
      <c r="AU35" s="105" t="e">
        <f>#REF!</f>
        <v>#REF!</v>
      </c>
      <c r="AV35" s="105" t="e">
        <f>#REF!</f>
        <v>#REF!</v>
      </c>
      <c r="AW35" s="105" t="e">
        <f>#REF!</f>
        <v>#REF!</v>
      </c>
      <c r="AX35" s="105" t="e">
        <f>#REF!</f>
        <v>#REF!</v>
      </c>
      <c r="AY35" s="105" t="e">
        <f>#REF!</f>
        <v>#REF!</v>
      </c>
      <c r="AZ35" s="105" t="e">
        <f>#REF!</f>
        <v>#REF!</v>
      </c>
      <c r="BA35" s="105" t="e">
        <f>#REF!</f>
        <v>#REF!</v>
      </c>
      <c r="BB35" s="105" t="e">
        <f>#REF!</f>
        <v>#REF!</v>
      </c>
      <c r="BC35" s="105" t="e">
        <f>#REF!</f>
        <v>#REF!</v>
      </c>
      <c r="BD35" s="105" t="e">
        <f>#REF!</f>
        <v>#REF!</v>
      </c>
      <c r="BE35" s="105" t="e">
        <f>#REF!</f>
        <v>#REF!</v>
      </c>
      <c r="BF35" s="105" t="e">
        <f>#REF!</f>
        <v>#REF!</v>
      </c>
      <c r="BG35" s="105" t="e">
        <f>#REF!</f>
        <v>#REF!</v>
      </c>
      <c r="BH35" s="105" t="e">
        <f>#REF!</f>
        <v>#REF!</v>
      </c>
      <c r="BI35" s="105" t="e">
        <f>#REF!</f>
        <v>#REF!</v>
      </c>
      <c r="BJ35" s="105" t="e">
        <f>#REF!</f>
        <v>#REF!</v>
      </c>
      <c r="BK35" s="110" t="e">
        <f>#REF!</f>
        <v>#REF!</v>
      </c>
      <c r="BL35" s="106" t="e">
        <f>#REF!</f>
        <v>#REF!</v>
      </c>
      <c r="BM35" s="106" t="e">
        <f>#REF!</f>
        <v>#REF!</v>
      </c>
      <c r="BN35" s="106" t="e">
        <f>#REF!</f>
        <v>#REF!</v>
      </c>
      <c r="BO35" s="106" t="e">
        <f>#REF!</f>
        <v>#REF!</v>
      </c>
      <c r="BP35" s="106" t="e">
        <f>#REF!</f>
        <v>#REF!</v>
      </c>
      <c r="BQ35" s="106" t="e">
        <f>#REF!</f>
        <v>#REF!</v>
      </c>
      <c r="BR35" s="106" t="e">
        <f>#REF!</f>
        <v>#REF!</v>
      </c>
      <c r="BS35" s="106" t="e">
        <f>#REF!</f>
        <v>#REF!</v>
      </c>
      <c r="BT35" s="106" t="e">
        <f>#REF!</f>
        <v>#REF!</v>
      </c>
      <c r="BU35" s="106" t="e">
        <f>#REF!</f>
        <v>#REF!</v>
      </c>
      <c r="BV35" s="105" t="e">
        <f>#REF!</f>
        <v>#REF!</v>
      </c>
      <c r="BW35" s="105" t="e">
        <f>#REF!</f>
        <v>#REF!</v>
      </c>
      <c r="BX35" s="105" t="e">
        <f>#REF!</f>
        <v>#REF!</v>
      </c>
      <c r="BY35" s="105" t="e">
        <f>#REF!</f>
        <v>#REF!</v>
      </c>
      <c r="BZ35" s="105" t="e">
        <f>#REF!</f>
        <v>#REF!</v>
      </c>
      <c r="CA35" s="105" t="e">
        <f>#REF!</f>
        <v>#REF!</v>
      </c>
      <c r="CB35" s="105" t="e">
        <f>CB40+CB44+CB51+CB59+CB65+#REF!+#REF!+CB104</f>
        <v>#REF!</v>
      </c>
      <c r="CC35" s="105" t="e">
        <f>CC40+CC44+CC51+CC59+CC65+#REF!+#REF!+CC104</f>
        <v>#REF!</v>
      </c>
      <c r="CD35" s="105" t="e">
        <f>CD40+CD44+CD51+CD59+CD65+#REF!+#REF!+CD104</f>
        <v>#REF!</v>
      </c>
      <c r="CE35" s="106" t="e">
        <f>CE40+CE44+CE51+CE59+CE65+#REF!+#REF!+CE104</f>
        <v>#REF!</v>
      </c>
      <c r="CF35" s="106" t="e">
        <f>CF40+CF44+CF51+CF59+CF65+#REF!+#REF!+CF104</f>
        <v>#REF!</v>
      </c>
      <c r="CG35" s="105" t="e">
        <f>CG40+CG44+CG51+CG59+CG65+#REF!+#REF!+CG104</f>
        <v>#REF!</v>
      </c>
      <c r="CH35" s="105" t="e">
        <f>CH40+CH44+CH51+CH59+CH65+#REF!+#REF!+CH104</f>
        <v>#REF!</v>
      </c>
      <c r="CI35" s="105" t="e">
        <f>CI40+CI44+CI51+CI59+CI65+#REF!+#REF!+CI104</f>
        <v>#REF!</v>
      </c>
      <c r="CJ35" s="105" t="e">
        <f>CJ40+CJ44+CJ51+CJ59+CJ65+#REF!+#REF!+CJ104</f>
        <v>#REF!</v>
      </c>
      <c r="CK35" s="105" t="e">
        <f>CK40+CK44+CK51+CK59+CK65+#REF!+#REF!+CK104</f>
        <v>#REF!</v>
      </c>
      <c r="CL35" s="105" t="e">
        <f>CL40+CL44+CL51+CL59+CL65+#REF!+#REF!+CL104</f>
        <v>#REF!</v>
      </c>
      <c r="CM35" s="105" t="e">
        <f>CM40+CM44+CM51+CM59+CM65+#REF!+#REF!+CM104</f>
        <v>#REF!</v>
      </c>
      <c r="CN35" s="105" t="e">
        <f>CN40+CN44+CN51+CN59+CN65+#REF!+#REF!+CN104</f>
        <v>#REF!</v>
      </c>
      <c r="CO35" s="105" t="e">
        <f>CO40+CO44+CO51+CO59+CO65+#REF!+#REF!+CO104</f>
        <v>#REF!</v>
      </c>
      <c r="CP35" s="105" t="e">
        <f>CP40+CP44+CP51+CP59+CP65+#REF!+#REF!+CP104</f>
        <v>#REF!</v>
      </c>
      <c r="CQ35" s="105" t="e">
        <f>CQ40+CQ44+CQ51+CQ59+CQ65+#REF!+#REF!+CQ104</f>
        <v>#REF!</v>
      </c>
      <c r="CR35" s="105" t="e">
        <f>CR40+CR44+CR51+CR59+CR65+#REF!+#REF!+CR104</f>
        <v>#REF!</v>
      </c>
      <c r="CS35" s="105" t="e">
        <f>CS40+CS44+CS51+CS59+CS65+#REF!+#REF!+CS104</f>
        <v>#REF!</v>
      </c>
      <c r="CT35" s="105" t="e">
        <f>CT40+CT44+CT51+CT59+CT65+#REF!+#REF!+CT104</f>
        <v>#REF!</v>
      </c>
      <c r="CU35" s="105" t="e">
        <f>CU40+CU44+CU51+CU59+CU65+#REF!+#REF!+CU104</f>
        <v>#REF!</v>
      </c>
      <c r="CV35" s="105" t="e">
        <f>CV40+CV44+CV51+CV59+CV65+#REF!+#REF!+CV104</f>
        <v>#REF!</v>
      </c>
      <c r="CW35" s="105">
        <f>CX35</f>
        <v>495808.97831999994</v>
      </c>
      <c r="CX35" s="105">
        <f>CX40+CX44+CX51+CX59+CX65++CX104+CX70+CX73+CX75+CX78</f>
        <v>495808.97831999994</v>
      </c>
      <c r="CY35" s="105">
        <f t="shared" ref="CY35:DE35" si="89">CY40+CY44+CY51+CY59+CY65++CY104</f>
        <v>0</v>
      </c>
      <c r="CZ35" s="105">
        <f t="shared" si="89"/>
        <v>892174.69400000002</v>
      </c>
      <c r="DA35" s="105">
        <f t="shared" si="89"/>
        <v>892174.69400000002</v>
      </c>
      <c r="DB35" s="105">
        <f t="shared" si="89"/>
        <v>0</v>
      </c>
      <c r="DC35" s="105">
        <f t="shared" si="89"/>
        <v>0</v>
      </c>
      <c r="DD35" s="105">
        <f t="shared" si="89"/>
        <v>0</v>
      </c>
      <c r="DE35" s="105">
        <f t="shared" si="89"/>
        <v>0</v>
      </c>
      <c r="DF35" s="105">
        <f>DF40+DF44+DF51+DF59+DF65++DF104+DF70+DF73+DF75+DF78</f>
        <v>-234516.68966</v>
      </c>
      <c r="DG35" s="105">
        <f>DG40+DG44+DG51+DG59+DG65++DG104+DG70+DG73+DG75+DG78</f>
        <v>-234516.68966</v>
      </c>
      <c r="DH35" s="105">
        <f>DH40+DH44+DH51+DH59+DH65++DH104</f>
        <v>0</v>
      </c>
      <c r="DI35" s="105">
        <f>DI40+DI44+DI51+DI59+DI65++DI104+DI70+DI73+DI75+DI78</f>
        <v>261292.28865999999</v>
      </c>
      <c r="DJ35" s="105">
        <f>DJ40+DJ44+DJ51+DJ59+DJ65++DJ104+DJ70+DJ73+DJ75+DJ78</f>
        <v>261292.28865999999</v>
      </c>
      <c r="DK35" s="105">
        <f>DK40+DK44+DK51+DK59+DK65++DK104</f>
        <v>0</v>
      </c>
      <c r="DL35" s="105">
        <f>DL40+DL44+DL51+DL59+DL65++DL104+DL70+DL73+DL75+DL78</f>
        <v>354809.22461999999</v>
      </c>
      <c r="DM35" s="105">
        <f>DM40+DM44+DM51+DM59+DM65++DM104+DM70+DM73+DM75+DM78</f>
        <v>354809.22461999999</v>
      </c>
      <c r="DN35" s="105">
        <f>DN40+DN44+DN51+DN59+DN65++DN104</f>
        <v>0</v>
      </c>
      <c r="DO35" s="105">
        <f>DO40+DO44+DO51+DO59+DO65++DO104+DO70+DO73+DO75+DO78</f>
        <v>4746.4650799999999</v>
      </c>
      <c r="DP35" s="105">
        <f>DP40+DP44+DP51+DP59+DP65++DP104+DP70+DP73+DP75+DP78</f>
        <v>4746.4650799999999</v>
      </c>
      <c r="DQ35" s="105">
        <f>DQ40+DQ44+DQ51+DQ59+DQ65++DQ104</f>
        <v>0</v>
      </c>
      <c r="DR35" s="105">
        <f>DR40+DR44+DR51+DR59+DR65++DR104+DR70+DR73+DR75+DR78</f>
        <v>-98263.401039999982</v>
      </c>
      <c r="DS35" s="105">
        <f>DS40+DS44+DS51+DS59+DS65++DS104+DS70+DS73+DS75+DS78</f>
        <v>-98263.401039999982</v>
      </c>
      <c r="DT35" s="105">
        <f t="shared" ref="DT35:EF35" si="90">DT40+DT44+DT51+DT59+DT65++DT104</f>
        <v>0</v>
      </c>
      <c r="DU35" s="105">
        <f t="shared" si="90"/>
        <v>1024671</v>
      </c>
      <c r="DV35" s="105">
        <f t="shared" si="90"/>
        <v>1024671</v>
      </c>
      <c r="DW35" s="105">
        <f t="shared" si="90"/>
        <v>0</v>
      </c>
      <c r="DX35" s="105">
        <f t="shared" si="90"/>
        <v>1306929.4391999999</v>
      </c>
      <c r="DY35" s="105">
        <f t="shared" si="90"/>
        <v>1306929.4391999999</v>
      </c>
      <c r="DZ35" s="105">
        <f t="shared" si="90"/>
        <v>0</v>
      </c>
      <c r="EA35" s="105">
        <f t="shared" si="90"/>
        <v>0</v>
      </c>
      <c r="EB35" s="105">
        <f t="shared" si="90"/>
        <v>0</v>
      </c>
      <c r="EC35" s="105">
        <f t="shared" si="90"/>
        <v>0</v>
      </c>
      <c r="ED35" s="105">
        <f t="shared" si="90"/>
        <v>-451007.6</v>
      </c>
      <c r="EE35" s="105">
        <f t="shared" si="90"/>
        <v>-451007.6</v>
      </c>
      <c r="EF35" s="105">
        <f t="shared" si="90"/>
        <v>0</v>
      </c>
      <c r="EG35" s="105">
        <f>EH35</f>
        <v>3286340.4924699999</v>
      </c>
      <c r="EH35" s="105">
        <f>EH36+EH37</f>
        <v>3286340.4924699999</v>
      </c>
      <c r="EI35" s="105"/>
      <c r="EJ35" s="105">
        <f>EJ40+EJ44+EJ51+EJ59+EJ65++EJ104</f>
        <v>0</v>
      </c>
      <c r="EK35" s="105">
        <f>EL35</f>
        <v>-23439.37</v>
      </c>
      <c r="EL35" s="105">
        <f>EL36+EL37</f>
        <v>-23439.37</v>
      </c>
      <c r="EM35" s="105"/>
      <c r="EN35" s="105">
        <f>EN40+EN44+EN51+EN59+EN65++EN104</f>
        <v>0</v>
      </c>
      <c r="EO35" s="105">
        <f>EO40+EO44+EO51+EO59+EO65++EO104</f>
        <v>0</v>
      </c>
      <c r="EP35" s="105">
        <f>EP40+EP44+EP51+EP59+EP65++EP104</f>
        <v>0</v>
      </c>
      <c r="EQ35" s="105"/>
      <c r="ER35" s="105">
        <f>ER40+ER44+ER51+ER59+ER65++ER104</f>
        <v>0</v>
      </c>
      <c r="ES35" s="105">
        <f>ET35</f>
        <v>32057.762330000001</v>
      </c>
      <c r="ET35" s="105">
        <f>ET36+ET37</f>
        <v>32057.762330000001</v>
      </c>
      <c r="EU35" s="105"/>
      <c r="EV35" s="105">
        <f t="shared" ref="EV35:FB35" si="91">EV40+EV44+EV51+EV59+EV65++EV104</f>
        <v>0</v>
      </c>
      <c r="EW35" s="105">
        <f t="shared" si="91"/>
        <v>1505478.6842</v>
      </c>
      <c r="EX35" s="105">
        <f t="shared" si="91"/>
        <v>1505478.6842</v>
      </c>
      <c r="EY35" s="105">
        <f t="shared" si="91"/>
        <v>0</v>
      </c>
      <c r="EZ35" s="105">
        <f t="shared" si="91"/>
        <v>-926815.28419999999</v>
      </c>
      <c r="FA35" s="105">
        <f t="shared" si="91"/>
        <v>-926815.28419999999</v>
      </c>
      <c r="FB35" s="105">
        <f t="shared" si="91"/>
        <v>0</v>
      </c>
      <c r="FC35" s="103">
        <f t="shared" si="88"/>
        <v>3929484.7444500001</v>
      </c>
      <c r="FD35" s="103">
        <f>FD36+FD37</f>
        <v>3929484.7444500001</v>
      </c>
      <c r="FE35" s="103"/>
      <c r="FF35" s="103">
        <f>FF40+FF44+FF51+FF59+FF65++FF104</f>
        <v>0</v>
      </c>
      <c r="FG35" s="103">
        <f>FH35</f>
        <v>-56372.639910000005</v>
      </c>
      <c r="FH35" s="103">
        <f>FH36+FH37</f>
        <v>-56372.639910000005</v>
      </c>
      <c r="FI35" s="103"/>
      <c r="FJ35" s="103">
        <f>FJ40+FJ44+FJ51+FJ59+FJ65++FJ104</f>
        <v>0</v>
      </c>
      <c r="FK35" s="103">
        <f>FK40+FK44+FK51+FK59+FK65++FK104</f>
        <v>0</v>
      </c>
      <c r="FL35" s="103">
        <f>FL40+FL44+FL51+FL59+FL65++FL104</f>
        <v>0</v>
      </c>
      <c r="FM35" s="103"/>
      <c r="FN35" s="103">
        <f>FN40+FN44+FN51+FN59+FN65++FN104</f>
        <v>0</v>
      </c>
      <c r="FO35" s="103">
        <f>FP35</f>
        <v>3070812.1045400002</v>
      </c>
      <c r="FP35" s="103">
        <f>FP36+FP37</f>
        <v>3070812.1045400002</v>
      </c>
      <c r="FQ35" s="103"/>
      <c r="FR35" s="103">
        <f>FR40+FR44+FR51+FR59+FR65++FR104</f>
        <v>0</v>
      </c>
      <c r="FS35" s="629">
        <f t="shared" si="57"/>
        <v>2989274.8186900001</v>
      </c>
      <c r="FT35" s="595">
        <f t="shared" si="81"/>
        <v>0.76072946279077647</v>
      </c>
      <c r="FU35" s="103">
        <f>FU36+FU37</f>
        <v>2989274.8186900001</v>
      </c>
      <c r="FV35" s="595">
        <f t="shared" si="82"/>
        <v>0.76072946279077647</v>
      </c>
      <c r="FW35" s="522"/>
      <c r="FX35" s="666"/>
      <c r="FY35" s="103"/>
      <c r="FZ35" s="666"/>
      <c r="GA35" s="103">
        <f t="shared" si="83"/>
        <v>2542766.93879</v>
      </c>
      <c r="GB35" s="595">
        <f t="shared" si="84"/>
        <v>0.64709932832323658</v>
      </c>
      <c r="GC35" s="103">
        <f>GC36+GC37</f>
        <v>2542766.93879</v>
      </c>
      <c r="GD35" s="595">
        <f t="shared" si="85"/>
        <v>0.64709932832323658</v>
      </c>
      <c r="GE35" s="522"/>
      <c r="GF35" s="514"/>
      <c r="GG35" s="522"/>
      <c r="GH35" s="514"/>
      <c r="GI35" s="629">
        <f>GK35+GM35+GO35</f>
        <v>3434495.02862</v>
      </c>
      <c r="GJ35" s="595">
        <f t="shared" si="86"/>
        <v>0.87403190290301469</v>
      </c>
      <c r="GK35" s="629">
        <f>GK36+GK37</f>
        <v>3434495.02862</v>
      </c>
      <c r="GL35" s="595">
        <f t="shared" si="87"/>
        <v>0.87403190290301469</v>
      </c>
      <c r="GM35" s="629">
        <f>GM294+GM363</f>
        <v>0</v>
      </c>
      <c r="GN35" s="595">
        <v>0</v>
      </c>
      <c r="GO35" s="629">
        <v>0</v>
      </c>
      <c r="GP35" s="595">
        <v>0</v>
      </c>
      <c r="GQ35" s="105"/>
      <c r="GR35" s="105"/>
      <c r="GS35" s="105"/>
      <c r="GT35" s="105"/>
      <c r="GU35" s="105">
        <f>GV35</f>
        <v>3120926.8295</v>
      </c>
      <c r="GV35" s="105">
        <f>GV36+GV37</f>
        <v>3120926.8295</v>
      </c>
      <c r="GW35" s="105"/>
      <c r="GX35" s="105">
        <f>GX40+GX44+GX51+GX59+GX65++GX104</f>
        <v>0</v>
      </c>
      <c r="GY35" s="105"/>
      <c r="GZ35" s="105"/>
      <c r="HA35" s="105"/>
      <c r="HB35" s="105"/>
      <c r="HC35" s="105"/>
      <c r="HD35" s="105"/>
      <c r="HE35" s="105"/>
      <c r="HF35" s="105"/>
      <c r="HG35" s="105">
        <f>HH35</f>
        <v>-856000</v>
      </c>
      <c r="HH35" s="105">
        <f>HH36+HH37</f>
        <v>-856000</v>
      </c>
      <c r="HI35" s="105"/>
      <c r="HJ35" s="105">
        <f>HJ40+HJ44+HJ51+HJ59+HJ65++HJ104</f>
        <v>0</v>
      </c>
      <c r="HK35" s="105">
        <f>HL35</f>
        <v>0</v>
      </c>
      <c r="HL35" s="105">
        <f>HL36+HL37</f>
        <v>0</v>
      </c>
      <c r="HM35" s="105"/>
      <c r="HN35" s="105">
        <f>HN40+HN44+HN51+HN59+HN65++HN104</f>
        <v>0</v>
      </c>
      <c r="HO35" s="105">
        <f>HP35</f>
        <v>2264926.8295</v>
      </c>
      <c r="HP35" s="105">
        <f>HP36+HP37</f>
        <v>2264926.8295</v>
      </c>
      <c r="HQ35" s="105"/>
      <c r="HR35" s="105">
        <f>HR40+HR44+HR51+HR59+HR65++HR104</f>
        <v>0</v>
      </c>
      <c r="HS35" s="105">
        <f>HT35</f>
        <v>1882054.3295</v>
      </c>
      <c r="HT35" s="105">
        <f>HT36+HT37</f>
        <v>1882054.3295</v>
      </c>
      <c r="HU35" s="105"/>
      <c r="HV35" s="105">
        <f>HV40+HV44+HV51+HV59+HV65++HV104</f>
        <v>0</v>
      </c>
      <c r="HW35" s="105">
        <f>HX35+HY35+HZ35</f>
        <v>1728970</v>
      </c>
      <c r="HX35" s="105">
        <f>HX36+HX37</f>
        <v>1728970</v>
      </c>
      <c r="HY35" s="105"/>
      <c r="HZ35" s="105">
        <f>HZ40+HZ44+HZ51+HZ59+HZ65++HZ104</f>
        <v>0</v>
      </c>
      <c r="IA35" s="105">
        <f>IB35</f>
        <v>3611024.3295</v>
      </c>
      <c r="IB35" s="105">
        <f>IB36+IB37</f>
        <v>3611024.3295</v>
      </c>
      <c r="IC35" s="105"/>
      <c r="ID35" s="105">
        <f>ID40+ID44+ID51+ID59+ID65++ID104</f>
        <v>0</v>
      </c>
      <c r="IE35" s="140"/>
      <c r="IF35" s="157"/>
      <c r="IG35" s="157"/>
      <c r="IH35" s="157"/>
    </row>
    <row r="36" spans="2:249" s="202" customFormat="1" ht="44.25" customHeight="1" x14ac:dyDescent="0.25">
      <c r="B36" s="100"/>
      <c r="C36" s="101" t="s">
        <v>131</v>
      </c>
      <c r="D36" s="102"/>
      <c r="E36" s="103"/>
      <c r="F36" s="104"/>
      <c r="G36" s="104"/>
      <c r="H36" s="103"/>
      <c r="I36" s="104"/>
      <c r="J36" s="104"/>
      <c r="K36" s="103"/>
      <c r="L36" s="104"/>
      <c r="M36" s="104"/>
      <c r="N36" s="103"/>
      <c r="O36" s="104"/>
      <c r="P36" s="104"/>
      <c r="Q36" s="105"/>
      <c r="R36" s="106"/>
      <c r="S36" s="106"/>
      <c r="T36" s="105"/>
      <c r="U36" s="106"/>
      <c r="V36" s="106"/>
      <c r="W36" s="105"/>
      <c r="X36" s="106"/>
      <c r="Y36" s="106"/>
      <c r="Z36" s="105"/>
      <c r="AA36" s="106"/>
      <c r="AB36" s="106"/>
      <c r="AC36" s="106"/>
      <c r="AD36" s="106"/>
      <c r="AE36" s="106"/>
      <c r="AF36" s="106"/>
      <c r="AG36" s="106"/>
      <c r="AH36" s="106"/>
      <c r="AI36" s="106"/>
      <c r="AJ36" s="106"/>
      <c r="AK36" s="106"/>
      <c r="AL36" s="106"/>
      <c r="AM36" s="111"/>
      <c r="AN36" s="108"/>
      <c r="AO36" s="109"/>
      <c r="AP36" s="106"/>
      <c r="AQ36" s="106"/>
      <c r="AR36" s="106"/>
      <c r="AS36" s="105"/>
      <c r="AT36" s="106"/>
      <c r="AU36" s="106"/>
      <c r="AV36" s="105"/>
      <c r="AW36" s="106"/>
      <c r="AX36" s="106"/>
      <c r="AY36" s="105"/>
      <c r="AZ36" s="106"/>
      <c r="BA36" s="106"/>
      <c r="BB36" s="105"/>
      <c r="BC36" s="106"/>
      <c r="BD36" s="106"/>
      <c r="BE36" s="105"/>
      <c r="BF36" s="106"/>
      <c r="BG36" s="106"/>
      <c r="BH36" s="105"/>
      <c r="BI36" s="106"/>
      <c r="BJ36" s="106"/>
      <c r="BK36" s="110"/>
      <c r="BL36" s="106"/>
      <c r="BM36" s="106"/>
      <c r="BN36" s="106"/>
      <c r="BO36" s="106"/>
      <c r="BP36" s="106"/>
      <c r="BQ36" s="106"/>
      <c r="BR36" s="106"/>
      <c r="BS36" s="106"/>
      <c r="BT36" s="106"/>
      <c r="BU36" s="106"/>
      <c r="BV36" s="105"/>
      <c r="BW36" s="106"/>
      <c r="BX36" s="106"/>
      <c r="BY36" s="105"/>
      <c r="BZ36" s="106"/>
      <c r="CA36" s="106"/>
      <c r="CB36" s="105"/>
      <c r="CC36" s="106"/>
      <c r="CD36" s="106"/>
      <c r="CE36" s="106"/>
      <c r="CF36" s="106"/>
      <c r="CG36" s="111"/>
      <c r="CH36" s="105"/>
      <c r="CI36" s="106"/>
      <c r="CJ36" s="106"/>
      <c r="CK36" s="105"/>
      <c r="CL36" s="106"/>
      <c r="CM36" s="106"/>
      <c r="CN36" s="106"/>
      <c r="CO36" s="106"/>
      <c r="CP36" s="106"/>
      <c r="CQ36" s="105"/>
      <c r="CR36" s="106"/>
      <c r="CS36" s="106"/>
      <c r="CT36" s="105"/>
      <c r="CU36" s="106"/>
      <c r="CV36" s="106"/>
      <c r="CW36" s="105"/>
      <c r="CX36" s="106"/>
      <c r="CY36" s="106"/>
      <c r="CZ36" s="105"/>
      <c r="DA36" s="106"/>
      <c r="DB36" s="106"/>
      <c r="DC36" s="106"/>
      <c r="DD36" s="106"/>
      <c r="DE36" s="106"/>
      <c r="DF36" s="105"/>
      <c r="DG36" s="106"/>
      <c r="DH36" s="106"/>
      <c r="DI36" s="105"/>
      <c r="DJ36" s="106"/>
      <c r="DK36" s="106"/>
      <c r="DL36" s="105"/>
      <c r="DM36" s="106"/>
      <c r="DN36" s="106"/>
      <c r="DO36" s="105"/>
      <c r="DP36" s="106"/>
      <c r="DQ36" s="106"/>
      <c r="DR36" s="105"/>
      <c r="DS36" s="106"/>
      <c r="DT36" s="106"/>
      <c r="DU36" s="105"/>
      <c r="DV36" s="106"/>
      <c r="DW36" s="106"/>
      <c r="DX36" s="105"/>
      <c r="DY36" s="106"/>
      <c r="DZ36" s="106"/>
      <c r="EA36" s="106"/>
      <c r="EB36" s="106"/>
      <c r="EC36" s="106"/>
      <c r="ED36" s="105"/>
      <c r="EE36" s="106"/>
      <c r="EF36" s="106"/>
      <c r="EG36" s="106">
        <f>EH36</f>
        <v>1012840.4924700001</v>
      </c>
      <c r="EH36" s="106">
        <f>EH41+EH45+EH61+EH67+EH68+EH89+EH92+EH104+EH78</f>
        <v>1012840.4924700001</v>
      </c>
      <c r="EI36" s="106"/>
      <c r="EJ36" s="106"/>
      <c r="EK36" s="106">
        <f>EL36</f>
        <v>-23439.37</v>
      </c>
      <c r="EL36" s="106">
        <f>EL40+EL45+EL52+EL65+EL88+EL92+EL104+EL78+EL61</f>
        <v>-23439.37</v>
      </c>
      <c r="EM36" s="106"/>
      <c r="EN36" s="106"/>
      <c r="EO36" s="105"/>
      <c r="EP36" s="106"/>
      <c r="EQ36" s="106"/>
      <c r="ER36" s="106"/>
      <c r="ES36" s="106">
        <f>ET36</f>
        <v>32057.762330000001</v>
      </c>
      <c r="ET36" s="106">
        <f>ET40+ET45+ET52+ET65+ET88+ET92+ET104+ET78+ET61</f>
        <v>32057.762330000001</v>
      </c>
      <c r="EU36" s="106"/>
      <c r="EV36" s="106"/>
      <c r="EW36" s="105"/>
      <c r="EX36" s="106"/>
      <c r="EY36" s="106"/>
      <c r="EZ36" s="105"/>
      <c r="FA36" s="106"/>
      <c r="FB36" s="106"/>
      <c r="FC36" s="104">
        <f t="shared" si="88"/>
        <v>1205984.7444500001</v>
      </c>
      <c r="FD36" s="104">
        <f>FD40+FD45+FD61+FD66+FD78+FD88+FD92+FD104+FD96+FD100</f>
        <v>1205984.7444500001</v>
      </c>
      <c r="FE36" s="104"/>
      <c r="FF36" s="104"/>
      <c r="FG36" s="104">
        <f>FH36</f>
        <v>43627.360089999995</v>
      </c>
      <c r="FH36" s="104">
        <f>FH40+FH45+FH52+FH65+FH88+FH92+FH104+FH78+FH61+FH97</f>
        <v>43627.360089999995</v>
      </c>
      <c r="FI36" s="104"/>
      <c r="FJ36" s="104"/>
      <c r="FK36" s="103"/>
      <c r="FL36" s="104"/>
      <c r="FM36" s="104"/>
      <c r="FN36" s="104"/>
      <c r="FO36" s="104">
        <f>FP36</f>
        <v>1147312.1045400002</v>
      </c>
      <c r="FP36" s="104">
        <f>FP40+FP45+FP52+FP65+FP88+FP92+FP104+FP78+FP61+FP97</f>
        <v>1147312.1045400002</v>
      </c>
      <c r="FQ36" s="104"/>
      <c r="FR36" s="104"/>
      <c r="FS36" s="629">
        <f t="shared" si="57"/>
        <v>905919.58578000008</v>
      </c>
      <c r="FT36" s="595">
        <f t="shared" si="81"/>
        <v>0.75118660492936218</v>
      </c>
      <c r="FU36" s="104">
        <f>FU40+FU45+FU61+FU66+FU78+FU88+FU92+FU104+FU96+FU100</f>
        <v>905919.58578000008</v>
      </c>
      <c r="FV36" s="595">
        <f t="shared" si="82"/>
        <v>0.75118660492936218</v>
      </c>
      <c r="FW36" s="522"/>
      <c r="FX36" s="666"/>
      <c r="FY36" s="104"/>
      <c r="FZ36" s="666"/>
      <c r="GA36" s="104">
        <f t="shared" si="83"/>
        <v>728719.86020000011</v>
      </c>
      <c r="GB36" s="595">
        <f t="shared" si="84"/>
        <v>0.60425296717359323</v>
      </c>
      <c r="GC36" s="104">
        <f>GC40+GC45+GC61+GC66+GC78+GC88+GC92+GC104+GC96+GC100</f>
        <v>728719.86020000011</v>
      </c>
      <c r="GD36" s="595">
        <f t="shared" si="85"/>
        <v>0.60425296717359323</v>
      </c>
      <c r="GE36" s="522"/>
      <c r="GF36" s="514"/>
      <c r="GG36" s="522"/>
      <c r="GH36" s="514"/>
      <c r="GI36" s="629">
        <f>GK36+GM36+GO36</f>
        <v>1100495.0286200002</v>
      </c>
      <c r="GJ36" s="595">
        <f t="shared" si="86"/>
        <v>0.91252815069554682</v>
      </c>
      <c r="GK36" s="104">
        <f>GK40+GK45+GK61+GK66+GK78+GK88+GK92+GK104+GK96+GK100</f>
        <v>1100495.0286200002</v>
      </c>
      <c r="GL36" s="595">
        <f t="shared" si="87"/>
        <v>0.91252815069554682</v>
      </c>
      <c r="GM36" s="629">
        <f>GM295+GM364</f>
        <v>0</v>
      </c>
      <c r="GN36" s="595">
        <v>0</v>
      </c>
      <c r="GO36" s="629">
        <v>0</v>
      </c>
      <c r="GP36" s="595">
        <v>0</v>
      </c>
      <c r="GQ36" s="106"/>
      <c r="GR36" s="106"/>
      <c r="GS36" s="106"/>
      <c r="GT36" s="106"/>
      <c r="GU36" s="106">
        <f>GV36</f>
        <v>1047926.8295</v>
      </c>
      <c r="GV36" s="106">
        <f>GV40+GV45+GV52+GV65+GV88+GV92+GV104+GV78+GV61+GV97</f>
        <v>1047926.8295</v>
      </c>
      <c r="GW36" s="106"/>
      <c r="GX36" s="106"/>
      <c r="GY36" s="106"/>
      <c r="GZ36" s="106"/>
      <c r="HA36" s="106"/>
      <c r="HB36" s="106"/>
      <c r="HC36" s="106"/>
      <c r="HD36" s="106"/>
      <c r="HE36" s="106"/>
      <c r="HF36" s="106"/>
      <c r="HG36" s="106">
        <f>HH36</f>
        <v>0</v>
      </c>
      <c r="HH36" s="106">
        <f>HH40+HH45+HH52+HH61+HH65+HH78+HH88+HH92+HH104</f>
        <v>0</v>
      </c>
      <c r="HI36" s="106"/>
      <c r="HJ36" s="106"/>
      <c r="HK36" s="106">
        <f>HL36</f>
        <v>0</v>
      </c>
      <c r="HL36" s="106">
        <f>HL40+HL45+HL52+HL65+HL88+HL92+HL104+HL78+HL61</f>
        <v>0</v>
      </c>
      <c r="HM36" s="106"/>
      <c r="HN36" s="106"/>
      <c r="HO36" s="106">
        <f>HP36</f>
        <v>1047926.8295</v>
      </c>
      <c r="HP36" s="106">
        <f>HP40+HP45+HP52+HP61+HP65+HP78+HP88+HP92+HP104</f>
        <v>1047926.8295</v>
      </c>
      <c r="HQ36" s="106"/>
      <c r="HR36" s="106"/>
      <c r="HS36" s="106">
        <f>HT36</f>
        <v>1882054.3295</v>
      </c>
      <c r="HT36" s="106">
        <f>HT40+HT45+HT52+HT65+HT88+HT92+HT104+HT78+HT61</f>
        <v>1882054.3295</v>
      </c>
      <c r="HU36" s="106"/>
      <c r="HV36" s="106"/>
      <c r="HW36" s="106">
        <f>HX36</f>
        <v>0</v>
      </c>
      <c r="HX36" s="106">
        <f>HX40+HX45+HX52+HX65+HX88+HX92+HX104+HX78+HX61</f>
        <v>0</v>
      </c>
      <c r="HY36" s="106"/>
      <c r="HZ36" s="106"/>
      <c r="IA36" s="106">
        <f>IB36</f>
        <v>1882054.3295</v>
      </c>
      <c r="IB36" s="106">
        <f>IB40+IB45+IB52+IB65+IB88+IB92+IB104+IB78+IB61</f>
        <v>1882054.3295</v>
      </c>
      <c r="IC36" s="106"/>
      <c r="ID36" s="106"/>
      <c r="IE36" s="112"/>
      <c r="IF36" s="113"/>
      <c r="IG36" s="113"/>
      <c r="IH36" s="113"/>
    </row>
    <row r="37" spans="2:249" s="127" customFormat="1" ht="46.5" customHeight="1" x14ac:dyDescent="0.25">
      <c r="B37" s="115"/>
      <c r="C37" s="116" t="s">
        <v>132</v>
      </c>
      <c r="D37" s="117"/>
      <c r="E37" s="118"/>
      <c r="F37" s="118"/>
      <c r="G37" s="118"/>
      <c r="H37" s="118"/>
      <c r="I37" s="118"/>
      <c r="J37" s="118"/>
      <c r="K37" s="118"/>
      <c r="L37" s="118"/>
      <c r="M37" s="118"/>
      <c r="N37" s="118"/>
      <c r="O37" s="118"/>
      <c r="P37" s="118"/>
      <c r="Q37" s="119"/>
      <c r="R37" s="119"/>
      <c r="S37" s="119"/>
      <c r="T37" s="119"/>
      <c r="U37" s="119"/>
      <c r="V37" s="119"/>
      <c r="W37" s="119"/>
      <c r="X37" s="119"/>
      <c r="Y37" s="119"/>
      <c r="Z37" s="119"/>
      <c r="AA37" s="119"/>
      <c r="AB37" s="119"/>
      <c r="AC37" s="119"/>
      <c r="AD37" s="119"/>
      <c r="AE37" s="119"/>
      <c r="AF37" s="119"/>
      <c r="AG37" s="119"/>
      <c r="AH37" s="119"/>
      <c r="AI37" s="120"/>
      <c r="AJ37" s="119"/>
      <c r="AK37" s="119"/>
      <c r="AL37" s="119"/>
      <c r="AM37" s="121"/>
      <c r="AN37" s="119"/>
      <c r="AO37" s="122"/>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23"/>
      <c r="BL37" s="124"/>
      <c r="BM37" s="124"/>
      <c r="BN37" s="124"/>
      <c r="BO37" s="124"/>
      <c r="BP37" s="124"/>
      <c r="BQ37" s="124"/>
      <c r="BR37" s="124"/>
      <c r="BS37" s="124"/>
      <c r="BT37" s="124"/>
      <c r="BU37" s="124"/>
      <c r="BV37" s="119"/>
      <c r="BW37" s="119"/>
      <c r="BX37" s="119"/>
      <c r="BY37" s="119"/>
      <c r="BZ37" s="119"/>
      <c r="CA37" s="119"/>
      <c r="CB37" s="119"/>
      <c r="CC37" s="119"/>
      <c r="CD37" s="119"/>
      <c r="CE37" s="124"/>
      <c r="CF37" s="124"/>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f>EH37</f>
        <v>2273500</v>
      </c>
      <c r="EH37" s="119">
        <f>EH48+EH57+EH60+EH95</f>
        <v>2273500</v>
      </c>
      <c r="EI37" s="119"/>
      <c r="EJ37" s="119"/>
      <c r="EK37" s="119">
        <f>EL37</f>
        <v>0</v>
      </c>
      <c r="EL37" s="119">
        <f>EL48+EL57+EL60+EL95</f>
        <v>0</v>
      </c>
      <c r="EM37" s="119"/>
      <c r="EN37" s="119"/>
      <c r="EO37" s="119"/>
      <c r="EP37" s="119"/>
      <c r="EQ37" s="119"/>
      <c r="ER37" s="119"/>
      <c r="ES37" s="119">
        <f>ET37</f>
        <v>0</v>
      </c>
      <c r="ET37" s="119">
        <f>ET48+ET57+ET60+ET95</f>
        <v>0</v>
      </c>
      <c r="EU37" s="119"/>
      <c r="EV37" s="119"/>
      <c r="EW37" s="119"/>
      <c r="EX37" s="119"/>
      <c r="EY37" s="119"/>
      <c r="EZ37" s="119"/>
      <c r="FA37" s="119"/>
      <c r="FB37" s="119"/>
      <c r="FC37" s="118">
        <f t="shared" si="88"/>
        <v>2723500</v>
      </c>
      <c r="FD37" s="118">
        <f>FD48+FD57+FD60+FD95+FD69</f>
        <v>2723500</v>
      </c>
      <c r="FE37" s="118"/>
      <c r="FF37" s="118"/>
      <c r="FG37" s="118">
        <f>FH37</f>
        <v>-100000</v>
      </c>
      <c r="FH37" s="118">
        <f>FH48+FH57+FH60+FH95</f>
        <v>-100000</v>
      </c>
      <c r="FI37" s="118"/>
      <c r="FJ37" s="118"/>
      <c r="FK37" s="118"/>
      <c r="FL37" s="118"/>
      <c r="FM37" s="118"/>
      <c r="FN37" s="118"/>
      <c r="FO37" s="118">
        <f>FP37</f>
        <v>1923500</v>
      </c>
      <c r="FP37" s="118">
        <f>FP48+FP57+FP60+FP95</f>
        <v>1923500</v>
      </c>
      <c r="FQ37" s="118"/>
      <c r="FR37" s="118"/>
      <c r="FS37" s="74">
        <f>FU37+FW37+FY37</f>
        <v>2083355.23291</v>
      </c>
      <c r="FT37" s="487">
        <f t="shared" si="81"/>
        <v>0.76495510663117317</v>
      </c>
      <c r="FU37" s="118">
        <f>FU48+FU57+FU60+FU95+FU69</f>
        <v>2083355.23291</v>
      </c>
      <c r="FV37" s="487">
        <f t="shared" si="82"/>
        <v>0.76495510663117317</v>
      </c>
      <c r="FW37" s="73"/>
      <c r="FX37" s="662"/>
      <c r="FY37" s="118"/>
      <c r="FZ37" s="662"/>
      <c r="GA37" s="118">
        <f t="shared" si="83"/>
        <v>1814047.07859</v>
      </c>
      <c r="GB37" s="487">
        <f t="shared" si="84"/>
        <v>0.66607199507618875</v>
      </c>
      <c r="GC37" s="118">
        <f>GC48+GC57+GC60+GC95+GC69</f>
        <v>1814047.07859</v>
      </c>
      <c r="GD37" s="487">
        <f t="shared" si="85"/>
        <v>0.66607199507618875</v>
      </c>
      <c r="GE37" s="73"/>
      <c r="GF37" s="513"/>
      <c r="GG37" s="73"/>
      <c r="GH37" s="513"/>
      <c r="GI37" s="74">
        <f>GK37</f>
        <v>2334000</v>
      </c>
      <c r="GJ37" s="487">
        <f t="shared" si="86"/>
        <v>0.85698549660363499</v>
      </c>
      <c r="GK37" s="74">
        <f>GK48+GK57+GK60+GK95+GK69</f>
        <v>2334000</v>
      </c>
      <c r="GL37" s="487">
        <f t="shared" si="87"/>
        <v>0.85698549660363499</v>
      </c>
      <c r="GM37" s="74">
        <v>0</v>
      </c>
      <c r="GN37" s="487">
        <v>0</v>
      </c>
      <c r="GO37" s="74">
        <v>0</v>
      </c>
      <c r="GP37" s="487">
        <v>0</v>
      </c>
      <c r="GQ37" s="119"/>
      <c r="GR37" s="119"/>
      <c r="GS37" s="119"/>
      <c r="GT37" s="119"/>
      <c r="GU37" s="119">
        <f>GV37</f>
        <v>2073000</v>
      </c>
      <c r="GV37" s="119">
        <f>GV48+GV57+GV60+GV95</f>
        <v>2073000</v>
      </c>
      <c r="GW37" s="119"/>
      <c r="GX37" s="119"/>
      <c r="GY37" s="119"/>
      <c r="GZ37" s="119"/>
      <c r="HA37" s="119"/>
      <c r="HB37" s="119"/>
      <c r="HC37" s="119"/>
      <c r="HD37" s="119"/>
      <c r="HE37" s="119"/>
      <c r="HF37" s="119"/>
      <c r="HG37" s="119">
        <f>HH37</f>
        <v>-856000</v>
      </c>
      <c r="HH37" s="119">
        <f>HH48+HH57+HH60+HH95</f>
        <v>-856000</v>
      </c>
      <c r="HI37" s="119"/>
      <c r="HJ37" s="119"/>
      <c r="HK37" s="119">
        <f>HL37</f>
        <v>0</v>
      </c>
      <c r="HL37" s="119">
        <f>HL48+HL57+HL60+HL95</f>
        <v>0</v>
      </c>
      <c r="HM37" s="119"/>
      <c r="HN37" s="119"/>
      <c r="HO37" s="119">
        <f>HP37</f>
        <v>1217000</v>
      </c>
      <c r="HP37" s="119">
        <f>HP48+HP57+HP60+HP95</f>
        <v>1217000</v>
      </c>
      <c r="HQ37" s="119"/>
      <c r="HR37" s="119"/>
      <c r="HS37" s="119">
        <f>HT37</f>
        <v>0</v>
      </c>
      <c r="HT37" s="119">
        <f>HT48+HT57+HT60+HT95</f>
        <v>0</v>
      </c>
      <c r="HU37" s="119"/>
      <c r="HV37" s="119"/>
      <c r="HW37" s="119">
        <f>HX37</f>
        <v>1728970</v>
      </c>
      <c r="HX37" s="119">
        <f>HX48+HX57+HX60+HX95</f>
        <v>1728970</v>
      </c>
      <c r="HY37" s="119"/>
      <c r="HZ37" s="119"/>
      <c r="IA37" s="119">
        <f>IB37</f>
        <v>1728970</v>
      </c>
      <c r="IB37" s="119">
        <f>IB48+IB57+IB60+IB95</f>
        <v>1728970</v>
      </c>
      <c r="IC37" s="119"/>
      <c r="ID37" s="119"/>
      <c r="IE37" s="125"/>
      <c r="IF37" s="126"/>
      <c r="IG37" s="126"/>
      <c r="IH37" s="126"/>
    </row>
    <row r="38" spans="2:249" s="536" customFormat="1" ht="68.25" hidden="1" customHeight="1" x14ac:dyDescent="0.25">
      <c r="B38" s="537"/>
      <c r="C38" s="740" t="s">
        <v>477</v>
      </c>
      <c r="D38" s="741"/>
      <c r="E38" s="538"/>
      <c r="F38" s="538"/>
      <c r="G38" s="538"/>
      <c r="H38" s="538"/>
      <c r="I38" s="538"/>
      <c r="J38" s="538"/>
      <c r="K38" s="538"/>
      <c r="L38" s="538"/>
      <c r="M38" s="538"/>
      <c r="N38" s="538"/>
      <c r="O38" s="538"/>
      <c r="P38" s="538"/>
      <c r="Q38" s="539"/>
      <c r="R38" s="539"/>
      <c r="S38" s="539"/>
      <c r="T38" s="539"/>
      <c r="U38" s="539"/>
      <c r="V38" s="539"/>
      <c r="W38" s="539"/>
      <c r="X38" s="539"/>
      <c r="Y38" s="539"/>
      <c r="Z38" s="539"/>
      <c r="AA38" s="539"/>
      <c r="AB38" s="539"/>
      <c r="AC38" s="539"/>
      <c r="AD38" s="539"/>
      <c r="AE38" s="539"/>
      <c r="AF38" s="539"/>
      <c r="AG38" s="539"/>
      <c r="AH38" s="539"/>
      <c r="AI38" s="540"/>
      <c r="AJ38" s="539"/>
      <c r="AK38" s="539"/>
      <c r="AL38" s="539"/>
      <c r="AM38" s="541"/>
      <c r="AN38" s="539"/>
      <c r="AO38" s="542"/>
      <c r="AP38" s="539"/>
      <c r="AQ38" s="539"/>
      <c r="AR38" s="539"/>
      <c r="AS38" s="539"/>
      <c r="AT38" s="539"/>
      <c r="AU38" s="539"/>
      <c r="AV38" s="539"/>
      <c r="AW38" s="539"/>
      <c r="AX38" s="539"/>
      <c r="AY38" s="539"/>
      <c r="AZ38" s="539"/>
      <c r="BA38" s="539"/>
      <c r="BB38" s="539"/>
      <c r="BC38" s="539"/>
      <c r="BD38" s="539"/>
      <c r="BE38" s="539"/>
      <c r="BF38" s="539"/>
      <c r="BG38" s="539"/>
      <c r="BH38" s="539"/>
      <c r="BI38" s="539"/>
      <c r="BJ38" s="539"/>
      <c r="BK38" s="543"/>
      <c r="BL38" s="544"/>
      <c r="BM38" s="544"/>
      <c r="BN38" s="544"/>
      <c r="BO38" s="544"/>
      <c r="BP38" s="544"/>
      <c r="BQ38" s="544"/>
      <c r="BR38" s="544"/>
      <c r="BS38" s="544"/>
      <c r="BT38" s="544"/>
      <c r="BU38" s="544"/>
      <c r="BV38" s="539"/>
      <c r="BW38" s="539"/>
      <c r="BX38" s="539"/>
      <c r="BY38" s="539"/>
      <c r="BZ38" s="539"/>
      <c r="CA38" s="539"/>
      <c r="CB38" s="539"/>
      <c r="CC38" s="539"/>
      <c r="CD38" s="539"/>
      <c r="CE38" s="544"/>
      <c r="CF38" s="544"/>
      <c r="CG38" s="539"/>
      <c r="CH38" s="539"/>
      <c r="CI38" s="539"/>
      <c r="CJ38" s="539"/>
      <c r="CK38" s="539"/>
      <c r="CL38" s="539"/>
      <c r="CM38" s="539"/>
      <c r="CN38" s="539"/>
      <c r="CO38" s="539"/>
      <c r="CP38" s="539"/>
      <c r="CQ38" s="539"/>
      <c r="CR38" s="539"/>
      <c r="CS38" s="539"/>
      <c r="CT38" s="539"/>
      <c r="CU38" s="539"/>
      <c r="CV38" s="539"/>
      <c r="CW38" s="539"/>
      <c r="CX38" s="539"/>
      <c r="CY38" s="539"/>
      <c r="CZ38" s="539"/>
      <c r="DA38" s="539"/>
      <c r="DB38" s="539"/>
      <c r="DC38" s="539"/>
      <c r="DD38" s="539"/>
      <c r="DE38" s="539"/>
      <c r="DF38" s="539"/>
      <c r="DG38" s="539"/>
      <c r="DH38" s="539"/>
      <c r="DI38" s="539"/>
      <c r="DJ38" s="539"/>
      <c r="DK38" s="539"/>
      <c r="DL38" s="539"/>
      <c r="DM38" s="539"/>
      <c r="DN38" s="539"/>
      <c r="DO38" s="539"/>
      <c r="DP38" s="539"/>
      <c r="DQ38" s="539"/>
      <c r="DR38" s="539"/>
      <c r="DS38" s="539"/>
      <c r="DT38" s="539"/>
      <c r="DU38" s="539"/>
      <c r="DV38" s="539"/>
      <c r="DW38" s="539"/>
      <c r="DX38" s="539"/>
      <c r="DY38" s="539"/>
      <c r="DZ38" s="539"/>
      <c r="EA38" s="539"/>
      <c r="EB38" s="539"/>
      <c r="EC38" s="539"/>
      <c r="ED38" s="539"/>
      <c r="EE38" s="539"/>
      <c r="EF38" s="539"/>
      <c r="EG38" s="539"/>
      <c r="EH38" s="539"/>
      <c r="EI38" s="539"/>
      <c r="EJ38" s="539"/>
      <c r="EK38" s="539"/>
      <c r="EL38" s="539"/>
      <c r="EM38" s="539"/>
      <c r="EN38" s="539"/>
      <c r="EO38" s="539"/>
      <c r="EP38" s="539"/>
      <c r="EQ38" s="539"/>
      <c r="ER38" s="539"/>
      <c r="ES38" s="539"/>
      <c r="ET38" s="539"/>
      <c r="EU38" s="539"/>
      <c r="EV38" s="539"/>
      <c r="EW38" s="539"/>
      <c r="EX38" s="539"/>
      <c r="EY38" s="539"/>
      <c r="EZ38" s="539"/>
      <c r="FA38" s="539"/>
      <c r="FB38" s="539"/>
      <c r="FC38" s="538">
        <f t="shared" si="88"/>
        <v>0</v>
      </c>
      <c r="FD38" s="538">
        <v>0</v>
      </c>
      <c r="FE38" s="538">
        <v>0</v>
      </c>
      <c r="FF38" s="538">
        <v>0</v>
      </c>
      <c r="FG38" s="538"/>
      <c r="FH38" s="538"/>
      <c r="FI38" s="538"/>
      <c r="FJ38" s="538"/>
      <c r="FK38" s="538"/>
      <c r="FL38" s="538"/>
      <c r="FM38" s="538"/>
      <c r="FN38" s="538"/>
      <c r="FO38" s="538"/>
      <c r="FP38" s="538"/>
      <c r="FQ38" s="538"/>
      <c r="FR38" s="538"/>
      <c r="FS38" s="530">
        <f>FU38</f>
        <v>250407.46953</v>
      </c>
      <c r="FT38" s="531">
        <v>0</v>
      </c>
      <c r="FU38" s="530">
        <f>FU49+FU58</f>
        <v>250407.46953</v>
      </c>
      <c r="FV38" s="531">
        <v>0</v>
      </c>
      <c r="FW38" s="529"/>
      <c r="FX38" s="663"/>
      <c r="FY38" s="530"/>
      <c r="FZ38" s="663"/>
      <c r="GA38" s="530">
        <v>0</v>
      </c>
      <c r="GB38" s="531">
        <v>0</v>
      </c>
      <c r="GC38" s="530">
        <v>0</v>
      </c>
      <c r="GD38" s="531">
        <v>0</v>
      </c>
      <c r="GE38" s="529"/>
      <c r="GF38" s="532"/>
      <c r="GG38" s="529"/>
      <c r="GH38" s="532"/>
      <c r="GI38" s="630">
        <v>0</v>
      </c>
      <c r="GJ38" s="531">
        <v>0</v>
      </c>
      <c r="GK38" s="630">
        <v>0</v>
      </c>
      <c r="GL38" s="531">
        <v>0</v>
      </c>
      <c r="GM38" s="630">
        <v>0</v>
      </c>
      <c r="GN38" s="531">
        <v>0</v>
      </c>
      <c r="GO38" s="630">
        <v>0</v>
      </c>
      <c r="GP38" s="531">
        <v>0</v>
      </c>
      <c r="GQ38" s="539"/>
      <c r="GR38" s="539"/>
      <c r="GS38" s="539"/>
      <c r="GT38" s="539"/>
      <c r="GU38" s="539"/>
      <c r="GV38" s="539"/>
      <c r="GW38" s="539"/>
      <c r="GX38" s="539"/>
      <c r="GY38" s="539"/>
      <c r="GZ38" s="539"/>
      <c r="HA38" s="539"/>
      <c r="HB38" s="539"/>
      <c r="HC38" s="539"/>
      <c r="HD38" s="539"/>
      <c r="HE38" s="539"/>
      <c r="HF38" s="539"/>
      <c r="HG38" s="539"/>
      <c r="HH38" s="539"/>
      <c r="HI38" s="539"/>
      <c r="HJ38" s="539"/>
      <c r="HK38" s="539"/>
      <c r="HL38" s="539"/>
      <c r="HM38" s="539"/>
      <c r="HN38" s="539"/>
      <c r="HO38" s="539"/>
      <c r="HP38" s="539"/>
      <c r="HQ38" s="539"/>
      <c r="HR38" s="539"/>
      <c r="HS38" s="539"/>
      <c r="HT38" s="539"/>
      <c r="HU38" s="539"/>
      <c r="HV38" s="539"/>
      <c r="HW38" s="539"/>
      <c r="HX38" s="539"/>
      <c r="HY38" s="539"/>
      <c r="HZ38" s="539"/>
      <c r="IA38" s="539"/>
      <c r="IB38" s="539"/>
      <c r="IC38" s="539"/>
      <c r="ID38" s="539"/>
      <c r="IE38" s="545"/>
      <c r="IF38" s="546"/>
      <c r="IG38" s="546"/>
      <c r="IH38" s="546"/>
    </row>
    <row r="39" spans="2:249" s="146" customFormat="1" ht="24.75" customHeight="1" x14ac:dyDescent="0.2">
      <c r="B39" s="100"/>
      <c r="C39" s="101" t="s">
        <v>139</v>
      </c>
      <c r="D39" s="102"/>
      <c r="E39" s="143"/>
      <c r="F39" s="103"/>
      <c r="G39" s="103"/>
      <c r="H39" s="143"/>
      <c r="I39" s="103"/>
      <c r="J39" s="103"/>
      <c r="K39" s="143"/>
      <c r="L39" s="103"/>
      <c r="M39" s="103"/>
      <c r="N39" s="143"/>
      <c r="O39" s="103"/>
      <c r="P39" s="103"/>
      <c r="Q39" s="144"/>
      <c r="R39" s="105"/>
      <c r="S39" s="105"/>
      <c r="T39" s="144"/>
      <c r="U39" s="105"/>
      <c r="V39" s="105"/>
      <c r="W39" s="144"/>
      <c r="X39" s="105"/>
      <c r="Y39" s="105"/>
      <c r="Z39" s="144"/>
      <c r="AA39" s="105"/>
      <c r="AB39" s="105"/>
      <c r="AC39" s="144"/>
      <c r="AD39" s="105"/>
      <c r="AE39" s="105"/>
      <c r="AF39" s="144"/>
      <c r="AG39" s="105"/>
      <c r="AH39" s="105"/>
      <c r="AI39" s="105"/>
      <c r="AJ39" s="105"/>
      <c r="AK39" s="105"/>
      <c r="AL39" s="105"/>
      <c r="AM39" s="105"/>
      <c r="AN39" s="105"/>
      <c r="AO39" s="105"/>
      <c r="AP39" s="105"/>
      <c r="AQ39" s="105"/>
      <c r="AR39" s="105"/>
      <c r="AS39" s="144"/>
      <c r="AT39" s="105"/>
      <c r="AU39" s="105"/>
      <c r="AV39" s="144"/>
      <c r="AW39" s="105"/>
      <c r="AX39" s="105"/>
      <c r="AY39" s="144"/>
      <c r="AZ39" s="105"/>
      <c r="BA39" s="105"/>
      <c r="BB39" s="144"/>
      <c r="BC39" s="105"/>
      <c r="BD39" s="105"/>
      <c r="BE39" s="144"/>
      <c r="BF39" s="105"/>
      <c r="BG39" s="105"/>
      <c r="BH39" s="144"/>
      <c r="BI39" s="105"/>
      <c r="BJ39" s="105"/>
      <c r="BK39" s="159"/>
      <c r="BL39" s="105"/>
      <c r="BM39" s="105"/>
      <c r="BN39" s="105"/>
      <c r="BO39" s="105"/>
      <c r="BP39" s="105"/>
      <c r="BQ39" s="105"/>
      <c r="BR39" s="105"/>
      <c r="BS39" s="105"/>
      <c r="BT39" s="105"/>
      <c r="BU39" s="105"/>
      <c r="BV39" s="144"/>
      <c r="BW39" s="105"/>
      <c r="BX39" s="105"/>
      <c r="BY39" s="144"/>
      <c r="BZ39" s="105"/>
      <c r="CA39" s="105"/>
      <c r="CB39" s="144"/>
      <c r="CC39" s="105"/>
      <c r="CD39" s="105"/>
      <c r="CE39" s="105"/>
      <c r="CF39" s="105"/>
      <c r="CG39" s="144"/>
      <c r="CH39" s="144"/>
      <c r="CI39" s="105"/>
      <c r="CJ39" s="105"/>
      <c r="CK39" s="144"/>
      <c r="CL39" s="105"/>
      <c r="CM39" s="105"/>
      <c r="CN39" s="105"/>
      <c r="CO39" s="105"/>
      <c r="CP39" s="105"/>
      <c r="CQ39" s="144"/>
      <c r="CR39" s="105"/>
      <c r="CS39" s="105"/>
      <c r="CT39" s="144"/>
      <c r="CU39" s="105"/>
      <c r="CV39" s="105"/>
      <c r="CW39" s="105"/>
      <c r="CX39" s="105"/>
      <c r="CY39" s="105"/>
      <c r="CZ39" s="144"/>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44"/>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44"/>
      <c r="EX39" s="105"/>
      <c r="EY39" s="105"/>
      <c r="EZ39" s="105"/>
      <c r="FA39" s="105"/>
      <c r="FB39" s="105"/>
      <c r="FC39" s="103"/>
      <c r="FD39" s="103"/>
      <c r="FE39" s="103"/>
      <c r="FF39" s="103"/>
      <c r="FG39" s="103"/>
      <c r="FH39" s="103"/>
      <c r="FI39" s="103"/>
      <c r="FJ39" s="103"/>
      <c r="FK39" s="103"/>
      <c r="FL39" s="103"/>
      <c r="FM39" s="103"/>
      <c r="FN39" s="103"/>
      <c r="FO39" s="103"/>
      <c r="FP39" s="103"/>
      <c r="FQ39" s="103"/>
      <c r="FR39" s="103"/>
      <c r="FS39" s="39"/>
      <c r="FT39" s="485"/>
      <c r="FU39" s="39"/>
      <c r="FV39" s="485"/>
      <c r="FW39" s="38"/>
      <c r="FX39" s="660"/>
      <c r="FY39" s="39"/>
      <c r="FZ39" s="660"/>
      <c r="GA39" s="39"/>
      <c r="GB39" s="485"/>
      <c r="GC39" s="39"/>
      <c r="GD39" s="485"/>
      <c r="GE39" s="82"/>
      <c r="GF39" s="498"/>
      <c r="GG39" s="82"/>
      <c r="GH39" s="498"/>
      <c r="GI39" s="90"/>
      <c r="GJ39" s="485"/>
      <c r="GK39" s="90"/>
      <c r="GL39" s="485"/>
      <c r="GM39" s="90"/>
      <c r="GN39" s="485"/>
      <c r="GO39" s="90"/>
      <c r="GP39" s="48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40"/>
      <c r="IF39" s="145"/>
      <c r="IG39" s="145"/>
      <c r="IH39" s="145"/>
      <c r="II39" s="142"/>
      <c r="IJ39" s="142"/>
      <c r="IK39" s="142"/>
      <c r="IL39" s="142"/>
      <c r="IM39" s="142"/>
      <c r="IN39" s="142"/>
      <c r="IO39" s="142"/>
    </row>
    <row r="40" spans="2:249" s="202" customFormat="1" ht="53.25" customHeight="1" x14ac:dyDescent="0.25">
      <c r="B40" s="100" t="s">
        <v>140</v>
      </c>
      <c r="C40" s="101" t="s">
        <v>141</v>
      </c>
      <c r="D40" s="102" t="s">
        <v>142</v>
      </c>
      <c r="E40" s="103">
        <f t="shared" ref="E40:E54" si="92">F40+G40</f>
        <v>20000</v>
      </c>
      <c r="F40" s="104">
        <f>SUM(F41:F42)</f>
        <v>20000</v>
      </c>
      <c r="G40" s="104">
        <f>SUM(G41:G42)</f>
        <v>0</v>
      </c>
      <c r="H40" s="103">
        <f t="shared" ref="H40:H54" si="93">I40+J40</f>
        <v>0</v>
      </c>
      <c r="I40" s="104">
        <f>SUM(I41:I42)</f>
        <v>0</v>
      </c>
      <c r="J40" s="104"/>
      <c r="K40" s="103">
        <f t="shared" ref="K40:K54" si="94">L40+M40</f>
        <v>20000</v>
      </c>
      <c r="L40" s="104">
        <f>SUM(L41:L42)</f>
        <v>20000</v>
      </c>
      <c r="M40" s="104">
        <f>SUM(M41:M42)</f>
        <v>0</v>
      </c>
      <c r="N40" s="103">
        <f t="shared" ref="N40:N54" si="95">O40+P40</f>
        <v>-2950.1736999999998</v>
      </c>
      <c r="O40" s="104">
        <f>SUM(O41:O42)</f>
        <v>-2950.1736999999998</v>
      </c>
      <c r="P40" s="104"/>
      <c r="Q40" s="105">
        <f t="shared" ref="Q40:Q54" si="96">R40+S40</f>
        <v>17049.826300000001</v>
      </c>
      <c r="R40" s="106">
        <f>SUM(R41:R42)</f>
        <v>17049.826300000001</v>
      </c>
      <c r="S40" s="106">
        <f>SUM(S41:S42)</f>
        <v>0</v>
      </c>
      <c r="T40" s="105">
        <f t="shared" ref="T40:T54" si="97">U40+V40</f>
        <v>20000</v>
      </c>
      <c r="U40" s="106">
        <f>SUM(U41:U42)</f>
        <v>20000</v>
      </c>
      <c r="V40" s="106">
        <f>SUM(V41:V42)</f>
        <v>0</v>
      </c>
      <c r="W40" s="105">
        <f t="shared" ref="W40:W54" si="98">X40+Y40</f>
        <v>7653.2378299999982</v>
      </c>
      <c r="X40" s="106">
        <f>SUM(X41:X42)</f>
        <v>7653.2378299999982</v>
      </c>
      <c r="Y40" s="106"/>
      <c r="Z40" s="105">
        <f t="shared" ref="Z40:Z47" si="99">AA40+AB40</f>
        <v>27653.237829999998</v>
      </c>
      <c r="AA40" s="106">
        <f t="shared" ref="AA40:AH40" si="100">SUM(AA41:AA42)</f>
        <v>27653.237829999998</v>
      </c>
      <c r="AB40" s="106">
        <f t="shared" si="100"/>
        <v>0</v>
      </c>
      <c r="AC40" s="106">
        <f t="shared" si="100"/>
        <v>0</v>
      </c>
      <c r="AD40" s="106">
        <f t="shared" si="100"/>
        <v>0</v>
      </c>
      <c r="AE40" s="106">
        <f t="shared" si="100"/>
        <v>0</v>
      </c>
      <c r="AF40" s="106">
        <f t="shared" si="100"/>
        <v>27653.237829999998</v>
      </c>
      <c r="AG40" s="106">
        <f t="shared" si="100"/>
        <v>27653.237829999998</v>
      </c>
      <c r="AH40" s="106">
        <f t="shared" si="100"/>
        <v>0</v>
      </c>
      <c r="AI40" s="106">
        <f>AA40-AJ40</f>
        <v>0</v>
      </c>
      <c r="AJ40" s="106">
        <f>SUM(AJ41:AJ42)</f>
        <v>27653.237829999998</v>
      </c>
      <c r="AK40" s="106">
        <f t="shared" ref="AK40:AK54" si="101">Z40-AJ40</f>
        <v>0</v>
      </c>
      <c r="AL40" s="106">
        <f>AF40-AJ40</f>
        <v>0</v>
      </c>
      <c r="AM40" s="746" t="s">
        <v>143</v>
      </c>
      <c r="AN40" s="108" t="s">
        <v>144</v>
      </c>
      <c r="AO40" s="109">
        <v>1</v>
      </c>
      <c r="AP40" s="106">
        <f>AP41+AP42</f>
        <v>24887.913519999998</v>
      </c>
      <c r="AQ40" s="106">
        <f>AQ41+AQ42</f>
        <v>0</v>
      </c>
      <c r="AR40" s="106">
        <f>AR41+AR42</f>
        <v>2765.32431</v>
      </c>
      <c r="AS40" s="105">
        <f t="shared" ref="AS40:AS54" si="102">AT40+AU40</f>
        <v>10000</v>
      </c>
      <c r="AT40" s="106">
        <f>SUM(AT41:AT42)</f>
        <v>10000</v>
      </c>
      <c r="AU40" s="106">
        <f>SUM(AU41:AU42)</f>
        <v>0</v>
      </c>
      <c r="AV40" s="105">
        <f t="shared" ref="AV40:AV54" si="103">AW40+AX40</f>
        <v>0</v>
      </c>
      <c r="AW40" s="106">
        <f>SUM(AW41:AW42)</f>
        <v>0</v>
      </c>
      <c r="AX40" s="106"/>
      <c r="AY40" s="105">
        <f t="shared" ref="AY40:AY54" si="104">AZ40+BA40</f>
        <v>10000</v>
      </c>
      <c r="AZ40" s="106">
        <f>SUM(AZ41:AZ42)</f>
        <v>10000</v>
      </c>
      <c r="BA40" s="106">
        <f>SUM(BA41:BA42)</f>
        <v>0</v>
      </c>
      <c r="BB40" s="105">
        <f t="shared" ref="BB40:BB54" si="105">BC40+BD40</f>
        <v>50000</v>
      </c>
      <c r="BC40" s="106">
        <f>SUM(BC41:BC42)</f>
        <v>50000</v>
      </c>
      <c r="BD40" s="106">
        <f>SUM(BD41:BD42)</f>
        <v>0</v>
      </c>
      <c r="BE40" s="105">
        <f t="shared" ref="BE40:BE54" si="106">BF40+BG40</f>
        <v>0</v>
      </c>
      <c r="BF40" s="106">
        <f>SUM(BF41:BF42)</f>
        <v>0</v>
      </c>
      <c r="BG40" s="106"/>
      <c r="BH40" s="105">
        <f t="shared" ref="BH40:BH54" si="107">BI40+BJ40</f>
        <v>10000</v>
      </c>
      <c r="BI40" s="106">
        <f>SUM(BI41:BI42)</f>
        <v>10000</v>
      </c>
      <c r="BJ40" s="106">
        <f>SUM(BJ41:BJ42)</f>
        <v>0</v>
      </c>
      <c r="BK40" s="110">
        <v>1</v>
      </c>
      <c r="BL40" s="106">
        <f t="shared" ref="BL40:BL54" si="108">AZ40</f>
        <v>10000</v>
      </c>
      <c r="BM40" s="106">
        <f t="shared" ref="BM40:BU40" si="109">BM41+BM42</f>
        <v>0</v>
      </c>
      <c r="BN40" s="106">
        <f t="shared" si="109"/>
        <v>0</v>
      </c>
      <c r="BO40" s="106">
        <f t="shared" si="109"/>
        <v>0</v>
      </c>
      <c r="BP40" s="106">
        <f t="shared" si="109"/>
        <v>0</v>
      </c>
      <c r="BQ40" s="106">
        <f t="shared" si="109"/>
        <v>0</v>
      </c>
      <c r="BR40" s="106">
        <f t="shared" si="109"/>
        <v>0</v>
      </c>
      <c r="BS40" s="106">
        <f t="shared" si="109"/>
        <v>10000</v>
      </c>
      <c r="BT40" s="106">
        <f t="shared" si="109"/>
        <v>10000</v>
      </c>
      <c r="BU40" s="106">
        <f t="shared" si="109"/>
        <v>0</v>
      </c>
      <c r="BV40" s="105">
        <f t="shared" ref="BV40:BV54" si="110">BW40+BX40</f>
        <v>50000</v>
      </c>
      <c r="BW40" s="106">
        <f>SUM(BW41:BW42)</f>
        <v>50000</v>
      </c>
      <c r="BX40" s="106">
        <f>SUM(BX41:BX42)</f>
        <v>0</v>
      </c>
      <c r="BY40" s="105">
        <f t="shared" ref="BY40:BY54" si="111">BZ40+CA40</f>
        <v>-9000</v>
      </c>
      <c r="BZ40" s="106">
        <f>SUM(BZ41:BZ42)</f>
        <v>-9000</v>
      </c>
      <c r="CA40" s="106"/>
      <c r="CB40" s="105">
        <f t="shared" ref="CB40:CB54" si="112">CC40+CD40</f>
        <v>1000</v>
      </c>
      <c r="CC40" s="106">
        <f>SUM(CC41:CC42)</f>
        <v>1000</v>
      </c>
      <c r="CD40" s="106">
        <f>SUM(CD41:CD42)</f>
        <v>0</v>
      </c>
      <c r="CE40" s="106">
        <v>1</v>
      </c>
      <c r="CF40" s="106">
        <f t="shared" ref="CF40:CF54" si="113">CB40</f>
        <v>1000</v>
      </c>
      <c r="CG40" s="108"/>
      <c r="CH40" s="105">
        <f t="shared" ref="CH40:CH54" si="114">CI40+CJ40</f>
        <v>50000</v>
      </c>
      <c r="CI40" s="106">
        <f>SUM(CI41:CI42)</f>
        <v>50000</v>
      </c>
      <c r="CJ40" s="106">
        <f>SUM(CJ41:CJ42)</f>
        <v>0</v>
      </c>
      <c r="CK40" s="105">
        <f t="shared" ref="CK40:CK54" si="115">CL40+CM40</f>
        <v>0</v>
      </c>
      <c r="CL40" s="106">
        <f>SUM(CL41:CL42)</f>
        <v>0</v>
      </c>
      <c r="CM40" s="106"/>
      <c r="CN40" s="106"/>
      <c r="CO40" s="106"/>
      <c r="CP40" s="106"/>
      <c r="CQ40" s="105">
        <f t="shared" ref="CQ40:CQ54" si="116">CR40+CS40</f>
        <v>50000</v>
      </c>
      <c r="CR40" s="106">
        <f>SUM(CR41:CR42)</f>
        <v>50000</v>
      </c>
      <c r="CS40" s="106">
        <f>SUM(CS41:CS42)</f>
        <v>0</v>
      </c>
      <c r="CT40" s="105">
        <f t="shared" ref="CT40:CT54" si="117">CU40+CV40</f>
        <v>0</v>
      </c>
      <c r="CU40" s="106"/>
      <c r="CV40" s="106"/>
      <c r="CW40" s="105">
        <f t="shared" ref="CW40:CW74" si="118">CX40+CY40</f>
        <v>8220.2656100000004</v>
      </c>
      <c r="CX40" s="106">
        <f>SUM(CX41:CX42)</f>
        <v>8220.2656100000004</v>
      </c>
      <c r="CY40" s="106"/>
      <c r="CZ40" s="105">
        <f t="shared" ref="CZ40:CZ54" si="119">DA40+DB40</f>
        <v>1000</v>
      </c>
      <c r="DA40" s="106">
        <f>SUM(DA41:DA42)</f>
        <v>1000</v>
      </c>
      <c r="DB40" s="106">
        <f>SUM(DB41:DB42)</f>
        <v>0</v>
      </c>
      <c r="DC40" s="106"/>
      <c r="DD40" s="106"/>
      <c r="DE40" s="106"/>
      <c r="DF40" s="105">
        <f t="shared" ref="DF40:DF75" si="120">DG40+DH40</f>
        <v>0</v>
      </c>
      <c r="DG40" s="106">
        <f>SUM(DG41:DG42)</f>
        <v>0</v>
      </c>
      <c r="DH40" s="106"/>
      <c r="DI40" s="105">
        <f t="shared" ref="DI40:DI75" si="121">DJ40+DK40</f>
        <v>8220.2656100000004</v>
      </c>
      <c r="DJ40" s="106">
        <f>SUM(DJ41:DJ42)</f>
        <v>8220.2656100000004</v>
      </c>
      <c r="DK40" s="106"/>
      <c r="DL40" s="105">
        <f t="shared" ref="DL40:DL74" si="122">DM40+DN40</f>
        <v>5196.2656100000004</v>
      </c>
      <c r="DM40" s="106">
        <f>SUM(DM41:DM42)</f>
        <v>5196.2656100000004</v>
      </c>
      <c r="DN40" s="106"/>
      <c r="DO40" s="105">
        <f t="shared" ref="DO40:DO54" si="123">DP40+DQ40</f>
        <v>0</v>
      </c>
      <c r="DP40" s="106">
        <f>SUM(DP41:DP42)</f>
        <v>0</v>
      </c>
      <c r="DQ40" s="106"/>
      <c r="DR40" s="105">
        <f t="shared" ref="DR40:DR74" si="124">DS40+DT40</f>
        <v>3024</v>
      </c>
      <c r="DS40" s="106">
        <f>SUM(DS41:DS42)</f>
        <v>3024</v>
      </c>
      <c r="DT40" s="106"/>
      <c r="DU40" s="105">
        <f t="shared" ref="DU40:DU54" si="125">DV40+DW40</f>
        <v>1000</v>
      </c>
      <c r="DV40" s="106">
        <f>SUM(DV41:DV42)</f>
        <v>1000</v>
      </c>
      <c r="DW40" s="106"/>
      <c r="DX40" s="105">
        <f t="shared" ref="DX40:DX54" si="126">DY40+DZ40</f>
        <v>1000</v>
      </c>
      <c r="DY40" s="106">
        <f>SUM(DY41:DY42)</f>
        <v>1000</v>
      </c>
      <c r="DZ40" s="106">
        <f>SUM(DZ41:DZ42)</f>
        <v>0</v>
      </c>
      <c r="EA40" s="106"/>
      <c r="EB40" s="106"/>
      <c r="EC40" s="106"/>
      <c r="ED40" s="106"/>
      <c r="EE40" s="106"/>
      <c r="EF40" s="106"/>
      <c r="EG40" s="106">
        <f>EH40</f>
        <v>1000</v>
      </c>
      <c r="EH40" s="106">
        <f>EH41</f>
        <v>1000</v>
      </c>
      <c r="EI40" s="106"/>
      <c r="EJ40" s="106"/>
      <c r="EK40" s="105">
        <f t="shared" ref="EK40:EK54" si="127">EL40+EN40</f>
        <v>-1000</v>
      </c>
      <c r="EL40" s="106">
        <f>SUM(EL41:EL42)</f>
        <v>-1000</v>
      </c>
      <c r="EM40" s="106">
        <f>SUM(EM41:EM42)</f>
        <v>0</v>
      </c>
      <c r="EN40" s="106">
        <f>SUM(EN41:EN42)</f>
        <v>0</v>
      </c>
      <c r="EO40" s="105">
        <f t="shared" ref="EO40:EO54" si="128">EP40+ER40</f>
        <v>0</v>
      </c>
      <c r="EP40" s="106">
        <f>SUM(EP41:EP42)</f>
        <v>0</v>
      </c>
      <c r="EQ40" s="106">
        <f>SUM(EQ41:EQ42)</f>
        <v>0</v>
      </c>
      <c r="ER40" s="106">
        <f>SUM(ER41:ER42)</f>
        <v>0</v>
      </c>
      <c r="ES40" s="106">
        <f>ET40+EV40</f>
        <v>0</v>
      </c>
      <c r="ET40" s="106">
        <f>ET41+ET42</f>
        <v>0</v>
      </c>
      <c r="EU40" s="106">
        <f>EU41+EU42</f>
        <v>0</v>
      </c>
      <c r="EV40" s="106">
        <f>EV41+EV42</f>
        <v>0</v>
      </c>
      <c r="EW40" s="105">
        <f t="shared" ref="EW40:EW54" si="129">EX40+EY40</f>
        <v>1000</v>
      </c>
      <c r="EX40" s="106">
        <f>SUM(EX41:EX42)</f>
        <v>1000</v>
      </c>
      <c r="EY40" s="106">
        <f>SUM(EY41:EY42)</f>
        <v>0</v>
      </c>
      <c r="EZ40" s="106"/>
      <c r="FA40" s="106"/>
      <c r="FB40" s="106"/>
      <c r="FC40" s="104">
        <f t="shared" ref="FC40:FC48" si="130">FD40</f>
        <v>70946.265610000002</v>
      </c>
      <c r="FD40" s="104">
        <f>SUM(FD41:FD43)</f>
        <v>70946.265610000002</v>
      </c>
      <c r="FE40" s="104"/>
      <c r="FF40" s="104"/>
      <c r="FG40" s="103">
        <f t="shared" ref="FG40:FG54" si="131">FH40+FJ40</f>
        <v>0</v>
      </c>
      <c r="FH40" s="104">
        <f>SUM(FH41:FH42)</f>
        <v>0</v>
      </c>
      <c r="FI40" s="104"/>
      <c r="FJ40" s="104"/>
      <c r="FK40" s="103">
        <f t="shared" ref="FK40:FK54" si="132">FL40+FN40</f>
        <v>0</v>
      </c>
      <c r="FL40" s="104">
        <f>SUM(FL41:FL42)</f>
        <v>0</v>
      </c>
      <c r="FM40" s="104">
        <f>SUM(FM41:FM42)</f>
        <v>0</v>
      </c>
      <c r="FN40" s="104">
        <f>SUM(FN41:FN42)</f>
        <v>0</v>
      </c>
      <c r="FO40" s="104">
        <f>FP40</f>
        <v>15146.26561</v>
      </c>
      <c r="FP40" s="104">
        <f>SUM(FP41:FP42)</f>
        <v>15146.26561</v>
      </c>
      <c r="FQ40" s="104"/>
      <c r="FR40" s="104"/>
      <c r="FS40" s="629">
        <f t="shared" ref="FS40:FS47" si="133">FU40</f>
        <v>14381.534</v>
      </c>
      <c r="FT40" s="595">
        <f>FS40/FC40</f>
        <v>0.20271023254496565</v>
      </c>
      <c r="FU40" s="629">
        <f>FU41+FU42+FU43</f>
        <v>14381.534</v>
      </c>
      <c r="FV40" s="518">
        <f>FU40/FD40</f>
        <v>0.20271023254496565</v>
      </c>
      <c r="FW40" s="522"/>
      <c r="FX40" s="666"/>
      <c r="FY40" s="629"/>
      <c r="FZ40" s="666"/>
      <c r="GA40" s="629">
        <f>GC40</f>
        <v>3997.163</v>
      </c>
      <c r="GB40" s="518">
        <f t="shared" ref="GB40:GB42" si="134">GA40/FC40</f>
        <v>5.6340710333830354E-2</v>
      </c>
      <c r="GC40" s="629">
        <f>GC41+GC42+GC43</f>
        <v>3997.163</v>
      </c>
      <c r="GD40" s="518">
        <f t="shared" ref="GD40:GD42" si="135">GC40/FD40</f>
        <v>5.6340710333830354E-2</v>
      </c>
      <c r="GE40" s="522"/>
      <c r="GF40" s="514"/>
      <c r="GG40" s="522"/>
      <c r="GH40" s="514"/>
      <c r="GI40" s="629">
        <f t="shared" ref="GI40:GI48" si="136">GK40</f>
        <v>19577.799610000002</v>
      </c>
      <c r="GJ40" s="595">
        <f>GI40/FD40</f>
        <v>0.27595250351331357</v>
      </c>
      <c r="GK40" s="629">
        <f>GK41+GK42+GK43</f>
        <v>19577.799610000002</v>
      </c>
      <c r="GL40" s="595">
        <f>GK40/FD40</f>
        <v>0.27595250351331357</v>
      </c>
      <c r="GM40" s="90"/>
      <c r="GN40" s="595"/>
      <c r="GO40" s="90"/>
      <c r="GP40" s="595"/>
      <c r="GQ40" s="106"/>
      <c r="GR40" s="106"/>
      <c r="GS40" s="106"/>
      <c r="GT40" s="106"/>
      <c r="GU40" s="106">
        <f>GV40</f>
        <v>10000</v>
      </c>
      <c r="GV40" s="106">
        <f>GV41</f>
        <v>10000</v>
      </c>
      <c r="GW40" s="106"/>
      <c r="GX40" s="106"/>
      <c r="GY40" s="106"/>
      <c r="GZ40" s="106"/>
      <c r="HA40" s="106"/>
      <c r="HB40" s="106"/>
      <c r="HC40" s="106"/>
      <c r="HD40" s="106"/>
      <c r="HE40" s="106"/>
      <c r="HF40" s="106"/>
      <c r="HG40" s="106">
        <f>HH40</f>
        <v>0</v>
      </c>
      <c r="HH40" s="106">
        <f>HH41</f>
        <v>0</v>
      </c>
      <c r="HI40" s="106"/>
      <c r="HJ40" s="106"/>
      <c r="HK40" s="106">
        <f>HL40</f>
        <v>0</v>
      </c>
      <c r="HL40" s="106">
        <f>HL41</f>
        <v>0</v>
      </c>
      <c r="HM40" s="106"/>
      <c r="HN40" s="106"/>
      <c r="HO40" s="106">
        <f>HP40</f>
        <v>10000</v>
      </c>
      <c r="HP40" s="106">
        <f>HP41</f>
        <v>10000</v>
      </c>
      <c r="HQ40" s="106"/>
      <c r="HR40" s="106"/>
      <c r="HS40" s="106">
        <f>HT40</f>
        <v>10000</v>
      </c>
      <c r="HT40" s="106">
        <f>HT41</f>
        <v>10000</v>
      </c>
      <c r="HU40" s="106"/>
      <c r="HV40" s="106"/>
      <c r="HW40" s="106">
        <f>HX40</f>
        <v>0</v>
      </c>
      <c r="HX40" s="106">
        <f>HX41</f>
        <v>0</v>
      </c>
      <c r="HY40" s="106"/>
      <c r="HZ40" s="106"/>
      <c r="IA40" s="106">
        <f>IB40</f>
        <v>10000</v>
      </c>
      <c r="IB40" s="106">
        <f>IB41</f>
        <v>10000</v>
      </c>
      <c r="IC40" s="106"/>
      <c r="ID40" s="106"/>
      <c r="IE40" s="112" t="s">
        <v>145</v>
      </c>
      <c r="IF40" s="113"/>
      <c r="IG40" s="113"/>
      <c r="IH40" s="113"/>
    </row>
    <row r="41" spans="2:249" s="171" customFormat="1" ht="32.25" hidden="1" customHeight="1" x14ac:dyDescent="0.25">
      <c r="B41" s="160"/>
      <c r="C41" s="161" t="s">
        <v>146</v>
      </c>
      <c r="D41" s="162" t="s">
        <v>147</v>
      </c>
      <c r="E41" s="163">
        <f t="shared" si="92"/>
        <v>2950.1736999999998</v>
      </c>
      <c r="F41" s="163">
        <v>2950.1736999999998</v>
      </c>
      <c r="G41" s="163"/>
      <c r="H41" s="163">
        <f t="shared" si="93"/>
        <v>0</v>
      </c>
      <c r="I41" s="163">
        <f>L41-F41</f>
        <v>0</v>
      </c>
      <c r="J41" s="163"/>
      <c r="K41" s="163">
        <f t="shared" si="94"/>
        <v>2950.1736999999998</v>
      </c>
      <c r="L41" s="163">
        <v>2950.1736999999998</v>
      </c>
      <c r="M41" s="163"/>
      <c r="N41" s="163">
        <f t="shared" si="95"/>
        <v>-2950.1736999999998</v>
      </c>
      <c r="O41" s="163">
        <f>R41-L41</f>
        <v>-2950.1736999999998</v>
      </c>
      <c r="P41" s="163"/>
      <c r="Q41" s="164">
        <f t="shared" si="96"/>
        <v>0</v>
      </c>
      <c r="R41" s="164"/>
      <c r="S41" s="164"/>
      <c r="T41" s="164">
        <f t="shared" si="97"/>
        <v>20000</v>
      </c>
      <c r="U41" s="164">
        <v>20000</v>
      </c>
      <c r="V41" s="164"/>
      <c r="W41" s="164">
        <f t="shared" si="98"/>
        <v>-20000</v>
      </c>
      <c r="X41" s="164">
        <f>AA41-U41</f>
        <v>-20000</v>
      </c>
      <c r="Y41" s="164"/>
      <c r="Z41" s="164">
        <f t="shared" si="99"/>
        <v>0</v>
      </c>
      <c r="AA41" s="164">
        <v>0</v>
      </c>
      <c r="AB41" s="164"/>
      <c r="AC41" s="164">
        <f>AD41+AE41</f>
        <v>0</v>
      </c>
      <c r="AD41" s="164">
        <v>0</v>
      </c>
      <c r="AE41" s="164"/>
      <c r="AF41" s="164">
        <f>AG41</f>
        <v>0</v>
      </c>
      <c r="AG41" s="164">
        <v>0</v>
      </c>
      <c r="AH41" s="164"/>
      <c r="AI41" s="165">
        <f>AA41-AJ41</f>
        <v>0</v>
      </c>
      <c r="AJ41" s="164">
        <v>0</v>
      </c>
      <c r="AK41" s="164">
        <f t="shared" si="101"/>
        <v>0</v>
      </c>
      <c r="AL41" s="164">
        <f>AA41-AK41</f>
        <v>0</v>
      </c>
      <c r="AM41" s="746"/>
      <c r="AN41" s="164"/>
      <c r="AO41" s="166">
        <v>1</v>
      </c>
      <c r="AP41" s="164"/>
      <c r="AQ41" s="164"/>
      <c r="AR41" s="164"/>
      <c r="AS41" s="164">
        <f t="shared" si="102"/>
        <v>10000</v>
      </c>
      <c r="AT41" s="164">
        <v>10000</v>
      </c>
      <c r="AU41" s="164"/>
      <c r="AV41" s="164">
        <f t="shared" si="103"/>
        <v>0</v>
      </c>
      <c r="AW41" s="164">
        <f>AZ41-AT41</f>
        <v>0</v>
      </c>
      <c r="AX41" s="164"/>
      <c r="AY41" s="164">
        <f t="shared" si="104"/>
        <v>10000</v>
      </c>
      <c r="AZ41" s="164">
        <v>10000</v>
      </c>
      <c r="BA41" s="164"/>
      <c r="BB41" s="164">
        <f t="shared" si="105"/>
        <v>50000</v>
      </c>
      <c r="BC41" s="164">
        <v>50000</v>
      </c>
      <c r="BD41" s="164"/>
      <c r="BE41" s="164">
        <f t="shared" si="106"/>
        <v>0</v>
      </c>
      <c r="BF41" s="164">
        <f>BW41-BC41</f>
        <v>0</v>
      </c>
      <c r="BG41" s="164"/>
      <c r="BH41" s="164">
        <f t="shared" si="107"/>
        <v>10000</v>
      </c>
      <c r="BI41" s="164">
        <v>10000</v>
      </c>
      <c r="BJ41" s="164"/>
      <c r="BK41" s="167">
        <v>1</v>
      </c>
      <c r="BL41" s="168">
        <f t="shared" si="108"/>
        <v>10000</v>
      </c>
      <c r="BM41" s="168">
        <f>BN41+BO41</f>
        <v>0</v>
      </c>
      <c r="BN41" s="168">
        <v>0</v>
      </c>
      <c r="BO41" s="168"/>
      <c r="BP41" s="168"/>
      <c r="BQ41" s="168">
        <v>0</v>
      </c>
      <c r="BR41" s="168"/>
      <c r="BS41" s="168">
        <f>BT41+BU41</f>
        <v>10000</v>
      </c>
      <c r="BT41" s="168">
        <f>AZ41-BN41-BQ41</f>
        <v>10000</v>
      </c>
      <c r="BU41" s="168"/>
      <c r="BV41" s="164">
        <f t="shared" si="110"/>
        <v>50000</v>
      </c>
      <c r="BW41" s="164">
        <v>50000</v>
      </c>
      <c r="BX41" s="164"/>
      <c r="BY41" s="164">
        <f t="shared" si="111"/>
        <v>-9000</v>
      </c>
      <c r="BZ41" s="164">
        <f>CC41-BI41</f>
        <v>-9000</v>
      </c>
      <c r="CA41" s="164"/>
      <c r="CB41" s="164">
        <f t="shared" si="112"/>
        <v>1000</v>
      </c>
      <c r="CC41" s="164">
        <v>1000</v>
      </c>
      <c r="CD41" s="164"/>
      <c r="CE41" s="168">
        <v>1</v>
      </c>
      <c r="CF41" s="168">
        <f t="shared" si="113"/>
        <v>1000</v>
      </c>
      <c r="CG41" s="164"/>
      <c r="CH41" s="164">
        <f t="shared" si="114"/>
        <v>50000</v>
      </c>
      <c r="CI41" s="164">
        <v>50000</v>
      </c>
      <c r="CJ41" s="164"/>
      <c r="CK41" s="164">
        <f t="shared" si="115"/>
        <v>0</v>
      </c>
      <c r="CL41" s="164">
        <f>CR41-CI41</f>
        <v>0</v>
      </c>
      <c r="CM41" s="164"/>
      <c r="CN41" s="164"/>
      <c r="CO41" s="164"/>
      <c r="CP41" s="164"/>
      <c r="CQ41" s="164">
        <f t="shared" si="116"/>
        <v>50000</v>
      </c>
      <c r="CR41" s="164">
        <v>50000</v>
      </c>
      <c r="CS41" s="164"/>
      <c r="CT41" s="164">
        <f t="shared" si="117"/>
        <v>0</v>
      </c>
      <c r="CU41" s="164"/>
      <c r="CV41" s="164"/>
      <c r="CW41" s="164">
        <f t="shared" si="118"/>
        <v>0</v>
      </c>
      <c r="CX41" s="164">
        <v>0</v>
      </c>
      <c r="CY41" s="164"/>
      <c r="CZ41" s="164">
        <f t="shared" si="119"/>
        <v>1000</v>
      </c>
      <c r="DA41" s="164">
        <v>1000</v>
      </c>
      <c r="DB41" s="164"/>
      <c r="DC41" s="164"/>
      <c r="DD41" s="164"/>
      <c r="DE41" s="164"/>
      <c r="DF41" s="164">
        <f t="shared" si="120"/>
        <v>0</v>
      </c>
      <c r="DG41" s="164">
        <f>DJ41-CX41</f>
        <v>0</v>
      </c>
      <c r="DH41" s="164"/>
      <c r="DI41" s="164">
        <f t="shared" si="121"/>
        <v>0</v>
      </c>
      <c r="DJ41" s="164">
        <v>0</v>
      </c>
      <c r="DK41" s="164"/>
      <c r="DL41" s="164">
        <f t="shared" si="122"/>
        <v>0</v>
      </c>
      <c r="DM41" s="164">
        <v>0</v>
      </c>
      <c r="DN41" s="164"/>
      <c r="DO41" s="164">
        <f t="shared" si="123"/>
        <v>0</v>
      </c>
      <c r="DP41" s="164">
        <v>0</v>
      </c>
      <c r="DQ41" s="164"/>
      <c r="DR41" s="164">
        <f t="shared" si="124"/>
        <v>0</v>
      </c>
      <c r="DS41" s="164">
        <v>0</v>
      </c>
      <c r="DT41" s="164"/>
      <c r="DU41" s="164">
        <f t="shared" si="125"/>
        <v>1000</v>
      </c>
      <c r="DV41" s="164">
        <v>1000</v>
      </c>
      <c r="DW41" s="164"/>
      <c r="DX41" s="164">
        <f t="shared" si="126"/>
        <v>1000</v>
      </c>
      <c r="DY41" s="164">
        <v>1000</v>
      </c>
      <c r="DZ41" s="164"/>
      <c r="EA41" s="164"/>
      <c r="EB41" s="164"/>
      <c r="EC41" s="164"/>
      <c r="ED41" s="164"/>
      <c r="EE41" s="164"/>
      <c r="EF41" s="164"/>
      <c r="EG41" s="164">
        <f>EH41</f>
        <v>1000</v>
      </c>
      <c r="EH41" s="164">
        <f>DV41</f>
        <v>1000</v>
      </c>
      <c r="EI41" s="164"/>
      <c r="EJ41" s="164"/>
      <c r="EK41" s="164">
        <f t="shared" si="127"/>
        <v>-1000</v>
      </c>
      <c r="EL41" s="164">
        <f>ET41-EH41</f>
        <v>-1000</v>
      </c>
      <c r="EM41" s="164"/>
      <c r="EN41" s="164"/>
      <c r="EO41" s="164">
        <f t="shared" si="128"/>
        <v>0</v>
      </c>
      <c r="EP41" s="164"/>
      <c r="EQ41" s="164"/>
      <c r="ER41" s="164"/>
      <c r="ES41" s="164">
        <f>ET41+EV41</f>
        <v>0</v>
      </c>
      <c r="ET41" s="164"/>
      <c r="EU41" s="164"/>
      <c r="EV41" s="164"/>
      <c r="EW41" s="164">
        <f t="shared" si="129"/>
        <v>1000</v>
      </c>
      <c r="EX41" s="164">
        <v>1000</v>
      </c>
      <c r="EY41" s="164"/>
      <c r="EZ41" s="164"/>
      <c r="FA41" s="164"/>
      <c r="FB41" s="164"/>
      <c r="FC41" s="163">
        <f t="shared" si="130"/>
        <v>1000</v>
      </c>
      <c r="FD41" s="163">
        <f>EX41</f>
        <v>1000</v>
      </c>
      <c r="FE41" s="163"/>
      <c r="FF41" s="163"/>
      <c r="FG41" s="163">
        <f t="shared" si="131"/>
        <v>0</v>
      </c>
      <c r="FH41" s="163">
        <f>FP41-FD41</f>
        <v>0</v>
      </c>
      <c r="FI41" s="163"/>
      <c r="FJ41" s="163"/>
      <c r="FK41" s="163">
        <f t="shared" si="132"/>
        <v>0</v>
      </c>
      <c r="FL41" s="163"/>
      <c r="FM41" s="163"/>
      <c r="FN41" s="163"/>
      <c r="FO41" s="163">
        <f>FP41</f>
        <v>1000</v>
      </c>
      <c r="FP41" s="163">
        <f>FD41</f>
        <v>1000</v>
      </c>
      <c r="FQ41" s="163"/>
      <c r="FR41" s="163"/>
      <c r="FS41" s="90">
        <f t="shared" si="133"/>
        <v>0</v>
      </c>
      <c r="FT41" s="518">
        <f t="shared" ref="FT41:FT42" si="137">FS41/FC41</f>
        <v>0</v>
      </c>
      <c r="FU41" s="90">
        <v>0</v>
      </c>
      <c r="FV41" s="518">
        <f t="shared" ref="FV41:FV42" si="138">FU41/FD41</f>
        <v>0</v>
      </c>
      <c r="FW41" s="87"/>
      <c r="FX41" s="665"/>
      <c r="FY41" s="90"/>
      <c r="FZ41" s="665"/>
      <c r="GA41" s="90">
        <f>GC41</f>
        <v>0</v>
      </c>
      <c r="GB41" s="518">
        <f t="shared" si="134"/>
        <v>0</v>
      </c>
      <c r="GC41" s="90"/>
      <c r="GD41" s="518">
        <f t="shared" si="135"/>
        <v>0</v>
      </c>
      <c r="GE41" s="87"/>
      <c r="GF41" s="515"/>
      <c r="GG41" s="87"/>
      <c r="GH41" s="515"/>
      <c r="GI41" s="90">
        <f t="shared" si="136"/>
        <v>0</v>
      </c>
      <c r="GJ41" s="518">
        <f>GI41/FD41</f>
        <v>0</v>
      </c>
      <c r="GK41" s="90">
        <v>0</v>
      </c>
      <c r="GL41" s="518">
        <f>GK41/FD41</f>
        <v>0</v>
      </c>
      <c r="GM41" s="90"/>
      <c r="GN41" s="518"/>
      <c r="GO41" s="90"/>
      <c r="GP41" s="518"/>
      <c r="GQ41" s="164"/>
      <c r="GR41" s="164"/>
      <c r="GS41" s="164"/>
      <c r="GT41" s="164"/>
      <c r="GU41" s="164">
        <f>GV41</f>
        <v>10000</v>
      </c>
      <c r="GV41" s="164">
        <v>10000</v>
      </c>
      <c r="GW41" s="164"/>
      <c r="GX41" s="164"/>
      <c r="GY41" s="164"/>
      <c r="GZ41" s="164"/>
      <c r="HA41" s="164"/>
      <c r="HB41" s="164"/>
      <c r="HC41" s="164"/>
      <c r="HD41" s="164"/>
      <c r="HE41" s="164"/>
      <c r="HF41" s="164"/>
      <c r="HG41" s="164">
        <f>HH41</f>
        <v>0</v>
      </c>
      <c r="HH41" s="164">
        <f>HP41-GV41</f>
        <v>0</v>
      </c>
      <c r="HI41" s="164"/>
      <c r="HJ41" s="164"/>
      <c r="HK41" s="164">
        <f>HL41</f>
        <v>0</v>
      </c>
      <c r="HL41" s="164">
        <f>IF41-GZ41</f>
        <v>0</v>
      </c>
      <c r="HM41" s="164"/>
      <c r="HN41" s="164"/>
      <c r="HO41" s="164">
        <f>HP41</f>
        <v>10000</v>
      </c>
      <c r="HP41" s="164">
        <v>10000</v>
      </c>
      <c r="HQ41" s="164"/>
      <c r="HR41" s="164"/>
      <c r="HS41" s="164">
        <f>HT41</f>
        <v>10000</v>
      </c>
      <c r="HT41" s="164">
        <v>10000</v>
      </c>
      <c r="HU41" s="164"/>
      <c r="HV41" s="164"/>
      <c r="HW41" s="164">
        <f>HX41</f>
        <v>0</v>
      </c>
      <c r="HX41" s="164">
        <f>IR41-HL41</f>
        <v>0</v>
      </c>
      <c r="HY41" s="164"/>
      <c r="HZ41" s="164"/>
      <c r="IA41" s="164">
        <f>IB41</f>
        <v>10000</v>
      </c>
      <c r="IB41" s="164">
        <v>10000</v>
      </c>
      <c r="IC41" s="164"/>
      <c r="ID41" s="164"/>
      <c r="IE41" s="185"/>
      <c r="IF41" s="170"/>
      <c r="IG41" s="170"/>
      <c r="IH41" s="170"/>
    </row>
    <row r="42" spans="2:249" s="171" customFormat="1" ht="42.75" hidden="1" customHeight="1" x14ac:dyDescent="0.25">
      <c r="B42" s="160"/>
      <c r="C42" s="161" t="s">
        <v>148</v>
      </c>
      <c r="D42" s="162" t="s">
        <v>149</v>
      </c>
      <c r="E42" s="163">
        <f t="shared" si="92"/>
        <v>17049.826300000001</v>
      </c>
      <c r="F42" s="163">
        <v>17049.826300000001</v>
      </c>
      <c r="G42" s="163"/>
      <c r="H42" s="163">
        <f t="shared" si="93"/>
        <v>0</v>
      </c>
      <c r="I42" s="163">
        <f>L42-F42</f>
        <v>0</v>
      </c>
      <c r="J42" s="163"/>
      <c r="K42" s="163">
        <f t="shared" si="94"/>
        <v>17049.826300000001</v>
      </c>
      <c r="L42" s="163">
        <v>17049.826300000001</v>
      </c>
      <c r="M42" s="163"/>
      <c r="N42" s="163">
        <f t="shared" si="95"/>
        <v>0</v>
      </c>
      <c r="O42" s="163">
        <f>R42-L42</f>
        <v>0</v>
      </c>
      <c r="P42" s="163"/>
      <c r="Q42" s="164">
        <f t="shared" si="96"/>
        <v>17049.826300000001</v>
      </c>
      <c r="R42" s="164">
        <v>17049.826300000001</v>
      </c>
      <c r="S42" s="164"/>
      <c r="T42" s="164">
        <f t="shared" si="97"/>
        <v>0</v>
      </c>
      <c r="U42" s="164"/>
      <c r="V42" s="164"/>
      <c r="W42" s="164">
        <f t="shared" si="98"/>
        <v>27653.237829999998</v>
      </c>
      <c r="X42" s="164">
        <f>AA42-U42</f>
        <v>27653.237829999998</v>
      </c>
      <c r="Y42" s="164"/>
      <c r="Z42" s="164">
        <f t="shared" si="99"/>
        <v>27653.237829999998</v>
      </c>
      <c r="AA42" s="164">
        <v>27653.237829999998</v>
      </c>
      <c r="AB42" s="164"/>
      <c r="AC42" s="164">
        <f>AD42+AE42</f>
        <v>0</v>
      </c>
      <c r="AD42" s="164"/>
      <c r="AE42" s="164"/>
      <c r="AF42" s="164">
        <f>AG42+AH42</f>
        <v>27653.237829999998</v>
      </c>
      <c r="AG42" s="164">
        <v>27653.237829999998</v>
      </c>
      <c r="AH42" s="164"/>
      <c r="AI42" s="165">
        <f>AA42-AJ42</f>
        <v>0</v>
      </c>
      <c r="AJ42" s="164">
        <f>AA42</f>
        <v>27653.237829999998</v>
      </c>
      <c r="AK42" s="164">
        <f t="shared" si="101"/>
        <v>0</v>
      </c>
      <c r="AL42" s="164">
        <f t="shared" ref="AL42:AL53" si="139">AF42-AJ42</f>
        <v>0</v>
      </c>
      <c r="AM42" s="746"/>
      <c r="AN42" s="164"/>
      <c r="AO42" s="166">
        <v>1</v>
      </c>
      <c r="AP42" s="164">
        <v>24887.913519999998</v>
      </c>
      <c r="AQ42" s="164"/>
      <c r="AR42" s="164">
        <f>AF42-AP42</f>
        <v>2765.32431</v>
      </c>
      <c r="AS42" s="164">
        <f t="shared" si="102"/>
        <v>0</v>
      </c>
      <c r="AT42" s="164">
        <v>0</v>
      </c>
      <c r="AU42" s="164"/>
      <c r="AV42" s="164">
        <f t="shared" si="103"/>
        <v>0</v>
      </c>
      <c r="AW42" s="164">
        <f>AZ42-AT42</f>
        <v>0</v>
      </c>
      <c r="AX42" s="164"/>
      <c r="AY42" s="164">
        <f t="shared" si="104"/>
        <v>0</v>
      </c>
      <c r="AZ42" s="164">
        <f>AT42</f>
        <v>0</v>
      </c>
      <c r="BA42" s="164"/>
      <c r="BB42" s="164">
        <f t="shared" si="105"/>
        <v>0</v>
      </c>
      <c r="BC42" s="164"/>
      <c r="BD42" s="164"/>
      <c r="BE42" s="164">
        <f t="shared" si="106"/>
        <v>0</v>
      </c>
      <c r="BF42" s="164">
        <f>BW42-BC42</f>
        <v>0</v>
      </c>
      <c r="BG42" s="164"/>
      <c r="BH42" s="164">
        <f t="shared" si="107"/>
        <v>0</v>
      </c>
      <c r="BI42" s="164">
        <f>BC42</f>
        <v>0</v>
      </c>
      <c r="BJ42" s="164"/>
      <c r="BK42" s="167">
        <v>1</v>
      </c>
      <c r="BL42" s="168">
        <f t="shared" si="108"/>
        <v>0</v>
      </c>
      <c r="BM42" s="168"/>
      <c r="BN42" s="168"/>
      <c r="BO42" s="168"/>
      <c r="BP42" s="168"/>
      <c r="BQ42" s="168"/>
      <c r="BR42" s="168"/>
      <c r="BS42" s="168"/>
      <c r="BT42" s="168"/>
      <c r="BU42" s="168"/>
      <c r="BV42" s="164">
        <f t="shared" si="110"/>
        <v>0</v>
      </c>
      <c r="BW42" s="164"/>
      <c r="BX42" s="164"/>
      <c r="BY42" s="164">
        <f t="shared" si="111"/>
        <v>0</v>
      </c>
      <c r="BZ42" s="164">
        <f>CC42-BW42</f>
        <v>0</v>
      </c>
      <c r="CA42" s="164"/>
      <c r="CB42" s="164">
        <f t="shared" si="112"/>
        <v>0</v>
      </c>
      <c r="CC42" s="164"/>
      <c r="CD42" s="164"/>
      <c r="CE42" s="168">
        <v>1</v>
      </c>
      <c r="CF42" s="168">
        <f t="shared" si="113"/>
        <v>0</v>
      </c>
      <c r="CG42" s="164"/>
      <c r="CH42" s="164">
        <f t="shared" si="114"/>
        <v>0</v>
      </c>
      <c r="CI42" s="164">
        <v>0</v>
      </c>
      <c r="CJ42" s="164"/>
      <c r="CK42" s="164">
        <f t="shared" si="115"/>
        <v>0</v>
      </c>
      <c r="CL42" s="164">
        <f>CR42-CI42</f>
        <v>0</v>
      </c>
      <c r="CM42" s="164"/>
      <c r="CN42" s="164"/>
      <c r="CO42" s="164"/>
      <c r="CP42" s="164"/>
      <c r="CQ42" s="164">
        <f t="shared" si="116"/>
        <v>0</v>
      </c>
      <c r="CR42" s="164">
        <v>0</v>
      </c>
      <c r="CS42" s="164"/>
      <c r="CT42" s="164">
        <f t="shared" si="117"/>
        <v>0</v>
      </c>
      <c r="CU42" s="164"/>
      <c r="CV42" s="164"/>
      <c r="CW42" s="164">
        <f t="shared" si="118"/>
        <v>8220.2656100000004</v>
      </c>
      <c r="CX42" s="164">
        <v>8220.2656100000004</v>
      </c>
      <c r="CY42" s="164"/>
      <c r="CZ42" s="164">
        <f t="shared" si="119"/>
        <v>0</v>
      </c>
      <c r="DA42" s="164">
        <v>0</v>
      </c>
      <c r="DB42" s="164"/>
      <c r="DC42" s="164"/>
      <c r="DD42" s="164"/>
      <c r="DE42" s="164"/>
      <c r="DF42" s="164">
        <f t="shared" si="120"/>
        <v>0</v>
      </c>
      <c r="DG42" s="164">
        <f>DJ42-CX42</f>
        <v>0</v>
      </c>
      <c r="DH42" s="164"/>
      <c r="DI42" s="164">
        <f t="shared" si="121"/>
        <v>8220.2656100000004</v>
      </c>
      <c r="DJ42" s="164">
        <v>8220.2656100000004</v>
      </c>
      <c r="DK42" s="164"/>
      <c r="DL42" s="164">
        <f t="shared" si="122"/>
        <v>5196.2656100000004</v>
      </c>
      <c r="DM42" s="164">
        <f>4196.26561+1000</f>
        <v>5196.2656100000004</v>
      </c>
      <c r="DN42" s="164"/>
      <c r="DO42" s="164">
        <f t="shared" si="123"/>
        <v>0</v>
      </c>
      <c r="DP42" s="164">
        <v>0</v>
      </c>
      <c r="DQ42" s="164"/>
      <c r="DR42" s="164">
        <f t="shared" si="124"/>
        <v>3024</v>
      </c>
      <c r="DS42" s="164">
        <f>DJ42-DM42</f>
        <v>3024</v>
      </c>
      <c r="DT42" s="164"/>
      <c r="DU42" s="164">
        <f t="shared" si="125"/>
        <v>0</v>
      </c>
      <c r="DV42" s="164">
        <v>0</v>
      </c>
      <c r="DW42" s="164"/>
      <c r="DX42" s="164">
        <f t="shared" si="126"/>
        <v>0</v>
      </c>
      <c r="DY42" s="164">
        <v>0</v>
      </c>
      <c r="DZ42" s="164"/>
      <c r="EA42" s="164"/>
      <c r="EB42" s="164"/>
      <c r="EC42" s="164"/>
      <c r="ED42" s="164"/>
      <c r="EE42" s="164"/>
      <c r="EF42" s="164"/>
      <c r="EG42" s="164"/>
      <c r="EH42" s="164"/>
      <c r="EI42" s="164"/>
      <c r="EJ42" s="164"/>
      <c r="EK42" s="164">
        <f t="shared" si="127"/>
        <v>0</v>
      </c>
      <c r="EL42" s="164">
        <f>ET42-EH42</f>
        <v>0</v>
      </c>
      <c r="EM42" s="164"/>
      <c r="EN42" s="164"/>
      <c r="EO42" s="164">
        <f t="shared" si="128"/>
        <v>0</v>
      </c>
      <c r="EP42" s="164"/>
      <c r="EQ42" s="164"/>
      <c r="ER42" s="164"/>
      <c r="ES42" s="164">
        <f>ET42+EV42</f>
        <v>0</v>
      </c>
      <c r="ET42" s="164">
        <v>0</v>
      </c>
      <c r="EU42" s="164"/>
      <c r="EV42" s="164"/>
      <c r="EW42" s="164">
        <f t="shared" si="129"/>
        <v>0</v>
      </c>
      <c r="EX42" s="164">
        <v>0</v>
      </c>
      <c r="EY42" s="164"/>
      <c r="EZ42" s="164"/>
      <c r="FA42" s="164"/>
      <c r="FB42" s="164"/>
      <c r="FC42" s="163">
        <f t="shared" si="130"/>
        <v>14146.26561</v>
      </c>
      <c r="FD42" s="163">
        <f>'[2]2021_2023свод_оконч'!$FD$44</f>
        <v>14146.26561</v>
      </c>
      <c r="FE42" s="163"/>
      <c r="FF42" s="163"/>
      <c r="FG42" s="163">
        <f t="shared" si="131"/>
        <v>0</v>
      </c>
      <c r="FH42" s="163">
        <f>FP42-FD42</f>
        <v>0</v>
      </c>
      <c r="FI42" s="163"/>
      <c r="FJ42" s="163"/>
      <c r="FK42" s="163">
        <f t="shared" si="132"/>
        <v>0</v>
      </c>
      <c r="FL42" s="163"/>
      <c r="FM42" s="163"/>
      <c r="FN42" s="163"/>
      <c r="FO42" s="163">
        <f>FP42</f>
        <v>14146.26561</v>
      </c>
      <c r="FP42" s="163">
        <v>14146.26561</v>
      </c>
      <c r="FQ42" s="163"/>
      <c r="FR42" s="163"/>
      <c r="FS42" s="90">
        <f t="shared" si="133"/>
        <v>0</v>
      </c>
      <c r="FT42" s="518">
        <f t="shared" si="137"/>
        <v>0</v>
      </c>
      <c r="FU42" s="90">
        <v>0</v>
      </c>
      <c r="FV42" s="518">
        <f t="shared" si="138"/>
        <v>0</v>
      </c>
      <c r="FW42" s="87"/>
      <c r="FX42" s="665"/>
      <c r="FY42" s="90"/>
      <c r="FZ42" s="665"/>
      <c r="GA42" s="90">
        <f t="shared" ref="GA42:GA43" si="140">GC42</f>
        <v>0</v>
      </c>
      <c r="GB42" s="518">
        <f t="shared" si="134"/>
        <v>0</v>
      </c>
      <c r="GC42" s="90"/>
      <c r="GD42" s="518">
        <f t="shared" si="135"/>
        <v>0</v>
      </c>
      <c r="GE42" s="87"/>
      <c r="GF42" s="515"/>
      <c r="GG42" s="87"/>
      <c r="GH42" s="515"/>
      <c r="GI42" s="90">
        <f t="shared" si="136"/>
        <v>5196.2656100000004</v>
      </c>
      <c r="GJ42" s="518">
        <f>GI42/FD42</f>
        <v>0.36732419376649894</v>
      </c>
      <c r="GK42" s="90">
        <f>5196.26561</f>
        <v>5196.2656100000004</v>
      </c>
      <c r="GL42" s="518">
        <f>GK42/FD42</f>
        <v>0.36732419376649894</v>
      </c>
      <c r="GM42" s="90"/>
      <c r="GN42" s="518"/>
      <c r="GO42" s="90"/>
      <c r="GP42" s="518"/>
      <c r="GQ42" s="164"/>
      <c r="GR42" s="164"/>
      <c r="GS42" s="164"/>
      <c r="GT42" s="164"/>
      <c r="GU42" s="164"/>
      <c r="GV42" s="164"/>
      <c r="GW42" s="164"/>
      <c r="GX42" s="164"/>
      <c r="GY42" s="164"/>
      <c r="GZ42" s="164"/>
      <c r="HA42" s="164"/>
      <c r="HB42" s="164"/>
      <c r="HC42" s="164"/>
      <c r="HD42" s="164"/>
      <c r="HE42" s="164"/>
      <c r="HF42" s="164"/>
      <c r="HG42" s="164"/>
      <c r="HH42" s="164"/>
      <c r="HI42" s="164"/>
      <c r="HJ42" s="164"/>
      <c r="HK42" s="164"/>
      <c r="HL42" s="164"/>
      <c r="HM42" s="164"/>
      <c r="HN42" s="164"/>
      <c r="HO42" s="164"/>
      <c r="HP42" s="164"/>
      <c r="HQ42" s="164"/>
      <c r="HR42" s="164"/>
      <c r="HS42" s="164"/>
      <c r="HT42" s="164"/>
      <c r="HU42" s="164"/>
      <c r="HV42" s="164"/>
      <c r="HW42" s="164"/>
      <c r="HX42" s="164"/>
      <c r="HY42" s="164"/>
      <c r="HZ42" s="164"/>
      <c r="IA42" s="164"/>
      <c r="IB42" s="164"/>
      <c r="IC42" s="164"/>
      <c r="ID42" s="164"/>
      <c r="IE42" s="185"/>
      <c r="IF42" s="170"/>
      <c r="IG42" s="170"/>
      <c r="IH42" s="170"/>
    </row>
    <row r="43" spans="2:249" s="171" customFormat="1" ht="42.75" hidden="1" customHeight="1" x14ac:dyDescent="0.25">
      <c r="B43" s="160"/>
      <c r="C43" s="161" t="s">
        <v>161</v>
      </c>
      <c r="D43" s="162"/>
      <c r="E43" s="163"/>
      <c r="F43" s="163"/>
      <c r="G43" s="163"/>
      <c r="H43" s="163"/>
      <c r="I43" s="163"/>
      <c r="J43" s="163"/>
      <c r="K43" s="163"/>
      <c r="L43" s="163"/>
      <c r="M43" s="163"/>
      <c r="N43" s="163"/>
      <c r="O43" s="163"/>
      <c r="P43" s="163"/>
      <c r="Q43" s="164"/>
      <c r="R43" s="164"/>
      <c r="S43" s="164"/>
      <c r="T43" s="164"/>
      <c r="U43" s="164"/>
      <c r="V43" s="164"/>
      <c r="W43" s="164"/>
      <c r="X43" s="164"/>
      <c r="Y43" s="164"/>
      <c r="Z43" s="164"/>
      <c r="AA43" s="164"/>
      <c r="AB43" s="164"/>
      <c r="AC43" s="164"/>
      <c r="AD43" s="164"/>
      <c r="AE43" s="164"/>
      <c r="AF43" s="164"/>
      <c r="AG43" s="164"/>
      <c r="AH43" s="164"/>
      <c r="AI43" s="165"/>
      <c r="AJ43" s="164"/>
      <c r="AK43" s="164"/>
      <c r="AL43" s="164"/>
      <c r="AM43" s="637"/>
      <c r="AN43" s="164"/>
      <c r="AO43" s="166"/>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7"/>
      <c r="BL43" s="168"/>
      <c r="BM43" s="168"/>
      <c r="BN43" s="168"/>
      <c r="BO43" s="168"/>
      <c r="BP43" s="168"/>
      <c r="BQ43" s="168"/>
      <c r="BR43" s="168"/>
      <c r="BS43" s="168"/>
      <c r="BT43" s="168"/>
      <c r="BU43" s="168"/>
      <c r="BV43" s="164"/>
      <c r="BW43" s="164"/>
      <c r="BX43" s="164"/>
      <c r="BY43" s="164"/>
      <c r="BZ43" s="164"/>
      <c r="CA43" s="164"/>
      <c r="CB43" s="164"/>
      <c r="CC43" s="164"/>
      <c r="CD43" s="164"/>
      <c r="CE43" s="168"/>
      <c r="CF43" s="168"/>
      <c r="CG43" s="164"/>
      <c r="CH43" s="164"/>
      <c r="CI43" s="164"/>
      <c r="CJ43" s="164"/>
      <c r="CK43" s="164"/>
      <c r="CL43" s="164"/>
      <c r="CM43" s="164"/>
      <c r="CN43" s="164"/>
      <c r="CO43" s="164"/>
      <c r="CP43" s="164"/>
      <c r="CQ43" s="164"/>
      <c r="CR43" s="164"/>
      <c r="CS43" s="164"/>
      <c r="CT43" s="164"/>
      <c r="CU43" s="164"/>
      <c r="CV43" s="164"/>
      <c r="CW43" s="164"/>
      <c r="CX43" s="164"/>
      <c r="CY43" s="164"/>
      <c r="CZ43" s="164"/>
      <c r="DA43" s="164"/>
      <c r="DB43" s="164"/>
      <c r="DC43" s="164"/>
      <c r="DD43" s="164"/>
      <c r="DE43" s="164"/>
      <c r="DF43" s="164"/>
      <c r="DG43" s="164"/>
      <c r="DH43" s="164"/>
      <c r="DI43" s="164"/>
      <c r="DJ43" s="164"/>
      <c r="DK43" s="164"/>
      <c r="DL43" s="164"/>
      <c r="DM43" s="164"/>
      <c r="DN43" s="164"/>
      <c r="DO43" s="164"/>
      <c r="DP43" s="164"/>
      <c r="DQ43" s="164"/>
      <c r="DR43" s="164"/>
      <c r="DS43" s="164"/>
      <c r="DT43" s="164"/>
      <c r="DU43" s="164"/>
      <c r="DV43" s="164"/>
      <c r="DW43" s="164"/>
      <c r="DX43" s="164"/>
      <c r="DY43" s="164"/>
      <c r="DZ43" s="164"/>
      <c r="EA43" s="164"/>
      <c r="EB43" s="164"/>
      <c r="EC43" s="164"/>
      <c r="ED43" s="164"/>
      <c r="EE43" s="164"/>
      <c r="EF43" s="164"/>
      <c r="EG43" s="164"/>
      <c r="EH43" s="164"/>
      <c r="EI43" s="164"/>
      <c r="EJ43" s="164"/>
      <c r="EK43" s="164"/>
      <c r="EL43" s="164"/>
      <c r="EM43" s="164"/>
      <c r="EN43" s="164"/>
      <c r="EO43" s="164"/>
      <c r="EP43" s="164"/>
      <c r="EQ43" s="164"/>
      <c r="ER43" s="164"/>
      <c r="ES43" s="164"/>
      <c r="ET43" s="164"/>
      <c r="EU43" s="164"/>
      <c r="EV43" s="164"/>
      <c r="EW43" s="164"/>
      <c r="EX43" s="164"/>
      <c r="EY43" s="164"/>
      <c r="EZ43" s="164"/>
      <c r="FA43" s="164"/>
      <c r="FB43" s="164"/>
      <c r="FC43" s="163">
        <f t="shared" si="130"/>
        <v>55800</v>
      </c>
      <c r="FD43" s="163">
        <v>55800</v>
      </c>
      <c r="FE43" s="163"/>
      <c r="FF43" s="163"/>
      <c r="FG43" s="163"/>
      <c r="FH43" s="163"/>
      <c r="FI43" s="163"/>
      <c r="FJ43" s="163"/>
      <c r="FK43" s="163"/>
      <c r="FL43" s="163"/>
      <c r="FM43" s="163"/>
      <c r="FN43" s="163"/>
      <c r="FO43" s="163"/>
      <c r="FP43" s="163"/>
      <c r="FQ43" s="163"/>
      <c r="FR43" s="163"/>
      <c r="FS43" s="90">
        <f t="shared" si="133"/>
        <v>14381.534</v>
      </c>
      <c r="FT43" s="518">
        <f>FS43/FC43</f>
        <v>0.25773358422939069</v>
      </c>
      <c r="FU43" s="90">
        <v>14381.534</v>
      </c>
      <c r="FV43" s="518">
        <f>FU43/FD43</f>
        <v>0.25773358422939069</v>
      </c>
      <c r="FW43" s="87"/>
      <c r="FX43" s="665"/>
      <c r="FY43" s="90"/>
      <c r="FZ43" s="665"/>
      <c r="GA43" s="90">
        <f t="shared" si="140"/>
        <v>3997.163</v>
      </c>
      <c r="GB43" s="518">
        <f t="shared" ref="GB43" si="141">GA43/FC43</f>
        <v>7.1633745519713257E-2</v>
      </c>
      <c r="GC43" s="90">
        <v>3997.163</v>
      </c>
      <c r="GD43" s="518">
        <f t="shared" ref="GD43" si="142">GC43/FD43</f>
        <v>7.1633745519713257E-2</v>
      </c>
      <c r="GE43" s="87"/>
      <c r="GF43" s="515"/>
      <c r="GG43" s="87"/>
      <c r="GH43" s="515"/>
      <c r="GI43" s="90">
        <f t="shared" si="136"/>
        <v>14381.534</v>
      </c>
      <c r="GJ43" s="518">
        <f>GI43/FD43</f>
        <v>0.25773358422939069</v>
      </c>
      <c r="GK43" s="90">
        <v>14381.534</v>
      </c>
      <c r="GL43" s="518">
        <f>GK43/FD43</f>
        <v>0.25773358422939069</v>
      </c>
      <c r="GM43" s="90"/>
      <c r="GN43" s="518"/>
      <c r="GO43" s="90"/>
      <c r="GP43" s="518"/>
      <c r="GQ43" s="164"/>
      <c r="GR43" s="164"/>
      <c r="GS43" s="164"/>
      <c r="GT43" s="164"/>
      <c r="GU43" s="164"/>
      <c r="GV43" s="164"/>
      <c r="GW43" s="164"/>
      <c r="GX43" s="164"/>
      <c r="GY43" s="164"/>
      <c r="GZ43" s="164"/>
      <c r="HA43" s="164"/>
      <c r="HB43" s="164"/>
      <c r="HC43" s="164"/>
      <c r="HD43" s="164"/>
      <c r="HE43" s="164"/>
      <c r="HF43" s="164"/>
      <c r="HG43" s="164"/>
      <c r="HH43" s="164"/>
      <c r="HI43" s="164"/>
      <c r="HJ43" s="164"/>
      <c r="HK43" s="164"/>
      <c r="HL43" s="164"/>
      <c r="HM43" s="164"/>
      <c r="HN43" s="164"/>
      <c r="HO43" s="164"/>
      <c r="HP43" s="164"/>
      <c r="HQ43" s="164"/>
      <c r="HR43" s="164"/>
      <c r="HS43" s="164"/>
      <c r="HT43" s="164"/>
      <c r="HU43" s="164"/>
      <c r="HV43" s="164"/>
      <c r="HW43" s="164"/>
      <c r="HX43" s="164"/>
      <c r="HY43" s="164"/>
      <c r="HZ43" s="164"/>
      <c r="IA43" s="164"/>
      <c r="IB43" s="164"/>
      <c r="IC43" s="164"/>
      <c r="ID43" s="164"/>
      <c r="IE43" s="185"/>
      <c r="IF43" s="170"/>
      <c r="IG43" s="170"/>
      <c r="IH43" s="170"/>
    </row>
    <row r="44" spans="2:249" s="202" customFormat="1" ht="49.5" customHeight="1" x14ac:dyDescent="0.25">
      <c r="B44" s="100" t="s">
        <v>150</v>
      </c>
      <c r="C44" s="101" t="s">
        <v>151</v>
      </c>
      <c r="D44" s="102" t="s">
        <v>152</v>
      </c>
      <c r="E44" s="103">
        <f t="shared" si="92"/>
        <v>40000</v>
      </c>
      <c r="F44" s="104">
        <f>SUM(F46:F47)</f>
        <v>40000</v>
      </c>
      <c r="G44" s="104">
        <f>SUM(G46:G47)</f>
        <v>0</v>
      </c>
      <c r="H44" s="103">
        <f t="shared" si="93"/>
        <v>0</v>
      </c>
      <c r="I44" s="104">
        <f>SUM(I46:I47)</f>
        <v>0</v>
      </c>
      <c r="J44" s="104"/>
      <c r="K44" s="103">
        <f t="shared" si="94"/>
        <v>40000</v>
      </c>
      <c r="L44" s="104">
        <f>SUM(L46:L47)</f>
        <v>40000</v>
      </c>
      <c r="M44" s="104">
        <f>SUM(M46:M47)</f>
        <v>0</v>
      </c>
      <c r="N44" s="103">
        <f t="shared" si="95"/>
        <v>-34933.333330000001</v>
      </c>
      <c r="O44" s="104">
        <f>SUM(O46:O47)</f>
        <v>-34933.333330000001</v>
      </c>
      <c r="P44" s="104"/>
      <c r="Q44" s="105">
        <f t="shared" si="96"/>
        <v>5066.6666699999987</v>
      </c>
      <c r="R44" s="106">
        <f>SUM(R46:R47)</f>
        <v>5066.6666699999987</v>
      </c>
      <c r="S44" s="106">
        <f>SUM(S46:S47)</f>
        <v>0</v>
      </c>
      <c r="T44" s="105">
        <f t="shared" si="97"/>
        <v>50000</v>
      </c>
      <c r="U44" s="106">
        <f>SUM(U46:U47)</f>
        <v>50000</v>
      </c>
      <c r="V44" s="106">
        <f>SUM(V46:V47)</f>
        <v>0</v>
      </c>
      <c r="W44" s="105" t="e">
        <f t="shared" si="98"/>
        <v>#REF!</v>
      </c>
      <c r="X44" s="106" t="e">
        <f>SUM(X46:X47)</f>
        <v>#REF!</v>
      </c>
      <c r="Y44" s="106"/>
      <c r="Z44" s="105" t="e">
        <f t="shared" si="99"/>
        <v>#REF!</v>
      </c>
      <c r="AA44" s="106" t="e">
        <f t="shared" ref="AA44:AH44" si="143">SUM(AA46:AA47)</f>
        <v>#REF!</v>
      </c>
      <c r="AB44" s="106">
        <f t="shared" si="143"/>
        <v>0</v>
      </c>
      <c r="AC44" s="106" t="e">
        <f t="shared" si="143"/>
        <v>#REF!</v>
      </c>
      <c r="AD44" s="106" t="e">
        <f t="shared" si="143"/>
        <v>#REF!</v>
      </c>
      <c r="AE44" s="106">
        <f t="shared" si="143"/>
        <v>0</v>
      </c>
      <c r="AF44" s="106">
        <f t="shared" si="143"/>
        <v>7034.9280099999996</v>
      </c>
      <c r="AG44" s="106">
        <f t="shared" si="143"/>
        <v>7034.9280099999996</v>
      </c>
      <c r="AH44" s="106">
        <f t="shared" si="143"/>
        <v>0</v>
      </c>
      <c r="AI44" s="106">
        <v>0</v>
      </c>
      <c r="AJ44" s="106" t="e">
        <f>SUM(AJ46:AJ47)</f>
        <v>#REF!</v>
      </c>
      <c r="AK44" s="106" t="e">
        <f t="shared" si="101"/>
        <v>#REF!</v>
      </c>
      <c r="AL44" s="106" t="e">
        <f t="shared" si="139"/>
        <v>#REF!</v>
      </c>
      <c r="AM44" s="746" t="s">
        <v>153</v>
      </c>
      <c r="AN44" s="108" t="s">
        <v>154</v>
      </c>
      <c r="AO44" s="109">
        <v>1</v>
      </c>
      <c r="AP44" s="106">
        <f>AP46+AP47</f>
        <v>6034.9280099999996</v>
      </c>
      <c r="AQ44" s="106">
        <f>AQ46+AQ47</f>
        <v>0</v>
      </c>
      <c r="AR44" s="106">
        <f>AR46+AR47</f>
        <v>1000</v>
      </c>
      <c r="AS44" s="105">
        <f t="shared" si="102"/>
        <v>2000</v>
      </c>
      <c r="AT44" s="106">
        <f>SUM(AT46:AT47)</f>
        <v>2000</v>
      </c>
      <c r="AU44" s="106">
        <f>SUM(AU46:AU47)</f>
        <v>0</v>
      </c>
      <c r="AV44" s="105">
        <f t="shared" si="103"/>
        <v>0</v>
      </c>
      <c r="AW44" s="106">
        <f>SUM(AW46:AW47)</f>
        <v>0</v>
      </c>
      <c r="AX44" s="106"/>
      <c r="AY44" s="105">
        <f t="shared" si="104"/>
        <v>2000</v>
      </c>
      <c r="AZ44" s="106">
        <f>SUM(AZ46:AZ47)</f>
        <v>2000</v>
      </c>
      <c r="BA44" s="106">
        <f>SUM(BA46:BA47)</f>
        <v>0</v>
      </c>
      <c r="BB44" s="105">
        <f t="shared" si="105"/>
        <v>50000</v>
      </c>
      <c r="BC44" s="106">
        <f>SUM(BC46:BC47)</f>
        <v>50000</v>
      </c>
      <c r="BD44" s="106">
        <f>SUM(BD46:BD47)</f>
        <v>0</v>
      </c>
      <c r="BE44" s="105">
        <f t="shared" si="106"/>
        <v>0</v>
      </c>
      <c r="BF44" s="106">
        <f>SUM(BF46:BF47)</f>
        <v>0</v>
      </c>
      <c r="BG44" s="106"/>
      <c r="BH44" s="105">
        <f t="shared" si="107"/>
        <v>2000</v>
      </c>
      <c r="BI44" s="106">
        <f>SUM(BI46:BI47)</f>
        <v>2000</v>
      </c>
      <c r="BJ44" s="106">
        <f>SUM(BJ46:BJ47)</f>
        <v>0</v>
      </c>
      <c r="BK44" s="110">
        <v>1</v>
      </c>
      <c r="BL44" s="106">
        <f t="shared" si="108"/>
        <v>2000</v>
      </c>
      <c r="BM44" s="106"/>
      <c r="BN44" s="106"/>
      <c r="BO44" s="106"/>
      <c r="BP44" s="106"/>
      <c r="BQ44" s="106"/>
      <c r="BR44" s="106"/>
      <c r="BS44" s="106">
        <f>BS46+BS47</f>
        <v>2000</v>
      </c>
      <c r="BT44" s="106">
        <f>BT46+BT47</f>
        <v>2000</v>
      </c>
      <c r="BU44" s="106">
        <f>BU46+BU47</f>
        <v>0</v>
      </c>
      <c r="BV44" s="105">
        <f t="shared" si="110"/>
        <v>50000</v>
      </c>
      <c r="BW44" s="106">
        <f>SUM(BW46:BW47)</f>
        <v>50000</v>
      </c>
      <c r="BX44" s="106">
        <f>SUM(BX46:BX47)</f>
        <v>0</v>
      </c>
      <c r="BY44" s="105">
        <f t="shared" si="111"/>
        <v>540681.63300000003</v>
      </c>
      <c r="BZ44" s="106">
        <f>SUM(BZ46:BZ47)</f>
        <v>540681.63300000003</v>
      </c>
      <c r="CA44" s="106"/>
      <c r="CB44" s="105">
        <f t="shared" si="112"/>
        <v>542681.63300000003</v>
      </c>
      <c r="CC44" s="106">
        <f>SUM(CC46:CC47)</f>
        <v>542681.63300000003</v>
      </c>
      <c r="CD44" s="106">
        <f>SUM(CD46:CD47)</f>
        <v>0</v>
      </c>
      <c r="CE44" s="106">
        <v>1</v>
      </c>
      <c r="CF44" s="106">
        <f t="shared" si="113"/>
        <v>542681.63300000003</v>
      </c>
      <c r="CG44" s="111"/>
      <c r="CH44" s="105">
        <f t="shared" si="114"/>
        <v>50000</v>
      </c>
      <c r="CI44" s="106">
        <f>SUM(CI46:CI47)</f>
        <v>50000</v>
      </c>
      <c r="CJ44" s="106">
        <f>SUM(CJ46:CJ47)</f>
        <v>0</v>
      </c>
      <c r="CK44" s="105">
        <f t="shared" si="115"/>
        <v>0</v>
      </c>
      <c r="CL44" s="106">
        <f>SUM(CL46:CL47)</f>
        <v>0</v>
      </c>
      <c r="CM44" s="106"/>
      <c r="CN44" s="106"/>
      <c r="CO44" s="106"/>
      <c r="CP44" s="106"/>
      <c r="CQ44" s="105">
        <f t="shared" si="116"/>
        <v>50000</v>
      </c>
      <c r="CR44" s="106">
        <f>SUM(CR46:CR47)</f>
        <v>50000</v>
      </c>
      <c r="CS44" s="106">
        <f>SUM(CS46:CS47)</f>
        <v>0</v>
      </c>
      <c r="CT44" s="105">
        <f t="shared" si="117"/>
        <v>0</v>
      </c>
      <c r="CU44" s="106"/>
      <c r="CV44" s="106"/>
      <c r="CW44" s="105">
        <f t="shared" si="118"/>
        <v>211636.08199999999</v>
      </c>
      <c r="CX44" s="106">
        <f>SUM(CX46:CX47)</f>
        <v>211636.08199999999</v>
      </c>
      <c r="CY44" s="106"/>
      <c r="CZ44" s="105">
        <f t="shared" si="119"/>
        <v>544034.69400000002</v>
      </c>
      <c r="DA44" s="106">
        <f>SUM(DA46:DA47)</f>
        <v>544034.69400000002</v>
      </c>
      <c r="DB44" s="106">
        <f>SUM(DB46:DB47)</f>
        <v>0</v>
      </c>
      <c r="DC44" s="106"/>
      <c r="DD44" s="106"/>
      <c r="DE44" s="106"/>
      <c r="DF44" s="105">
        <f t="shared" si="120"/>
        <v>0</v>
      </c>
      <c r="DG44" s="106">
        <f>SUM(DG46:DG47)</f>
        <v>0</v>
      </c>
      <c r="DH44" s="106"/>
      <c r="DI44" s="105">
        <f t="shared" si="121"/>
        <v>211636.08199999999</v>
      </c>
      <c r="DJ44" s="106">
        <f>SUM(DJ46:DJ47)</f>
        <v>211636.08199999999</v>
      </c>
      <c r="DK44" s="106"/>
      <c r="DL44" s="105">
        <f t="shared" si="122"/>
        <v>105600</v>
      </c>
      <c r="DM44" s="106">
        <f>SUM(DM46:DM47)</f>
        <v>105600</v>
      </c>
      <c r="DN44" s="106"/>
      <c r="DO44" s="105">
        <f t="shared" si="123"/>
        <v>0</v>
      </c>
      <c r="DP44" s="106">
        <f>SUM(DP46:DP47)</f>
        <v>0</v>
      </c>
      <c r="DQ44" s="106"/>
      <c r="DR44" s="105">
        <f t="shared" si="124"/>
        <v>106036.08199999999</v>
      </c>
      <c r="DS44" s="106">
        <f>SUM(DS46:DS47)</f>
        <v>106036.08199999999</v>
      </c>
      <c r="DT44" s="106"/>
      <c r="DU44" s="105">
        <f t="shared" si="125"/>
        <v>676531</v>
      </c>
      <c r="DV44" s="106">
        <f>SUM(DV46:DV47)</f>
        <v>676531</v>
      </c>
      <c r="DW44" s="106">
        <f>SUM(DW46:DW47)</f>
        <v>0</v>
      </c>
      <c r="DX44" s="105">
        <f t="shared" si="126"/>
        <v>545387.755</v>
      </c>
      <c r="DY44" s="106">
        <f>SUM(DY46:DY47)</f>
        <v>545387.755</v>
      </c>
      <c r="DZ44" s="106">
        <f>SUM(DZ46:DZ47)</f>
        <v>0</v>
      </c>
      <c r="EA44" s="106"/>
      <c r="EB44" s="106"/>
      <c r="EC44" s="106"/>
      <c r="ED44" s="105">
        <f>EE44+EF44</f>
        <v>-676531</v>
      </c>
      <c r="EE44" s="106">
        <f>SUM(EE46:EE47)</f>
        <v>-676531</v>
      </c>
      <c r="EF44" s="106"/>
      <c r="EG44" s="106">
        <f>EH44+EJ44</f>
        <v>907439.37</v>
      </c>
      <c r="EH44" s="106">
        <f>EH45+EH48</f>
        <v>907439.37</v>
      </c>
      <c r="EI44" s="106"/>
      <c r="EJ44" s="106"/>
      <c r="EK44" s="106">
        <f t="shared" si="127"/>
        <v>-7439.37</v>
      </c>
      <c r="EL44" s="106">
        <f>EL45+EL48</f>
        <v>-7439.37</v>
      </c>
      <c r="EM44" s="106">
        <f>SUM(EM46:EM47)</f>
        <v>0</v>
      </c>
      <c r="EN44" s="106">
        <f>SUM(EN46:EN47)</f>
        <v>0</v>
      </c>
      <c r="EO44" s="105">
        <f t="shared" si="128"/>
        <v>0</v>
      </c>
      <c r="EP44" s="106">
        <f>SUM(EP46:EP47)</f>
        <v>0</v>
      </c>
      <c r="EQ44" s="106">
        <f>SUM(EQ46:EQ47)</f>
        <v>0</v>
      </c>
      <c r="ER44" s="106">
        <f>SUM(ER46:ER47)</f>
        <v>0</v>
      </c>
      <c r="ES44" s="106">
        <f>ET44</f>
        <v>0</v>
      </c>
      <c r="ET44" s="106">
        <f>ET45+ET48</f>
        <v>0</v>
      </c>
      <c r="EU44" s="106"/>
      <c r="EV44" s="106"/>
      <c r="EW44" s="105">
        <f t="shared" si="129"/>
        <v>743937</v>
      </c>
      <c r="EX44" s="106">
        <f>SUM(EX46:EX47)</f>
        <v>743937</v>
      </c>
      <c r="EY44" s="106">
        <f>SUM(EY46:EY47)</f>
        <v>0</v>
      </c>
      <c r="EZ44" s="105">
        <f t="shared" ref="EZ44:EZ54" si="144">FA44+FB44</f>
        <v>-743937</v>
      </c>
      <c r="FA44" s="106">
        <f>SUM(FA46:FA47)</f>
        <v>-743937</v>
      </c>
      <c r="FB44" s="106"/>
      <c r="FC44" s="104">
        <f t="shared" si="130"/>
        <v>1018008.26939</v>
      </c>
      <c r="FD44" s="104">
        <f>FD45+FD48</f>
        <v>1018008.26939</v>
      </c>
      <c r="FE44" s="104"/>
      <c r="FF44" s="104"/>
      <c r="FG44" s="104">
        <f t="shared" si="131"/>
        <v>-100000</v>
      </c>
      <c r="FH44" s="104">
        <f>FH45+FH48</f>
        <v>-100000</v>
      </c>
      <c r="FI44" s="104"/>
      <c r="FJ44" s="104"/>
      <c r="FK44" s="103">
        <f t="shared" si="132"/>
        <v>0</v>
      </c>
      <c r="FL44" s="104">
        <f>SUM(FL46:FL47)</f>
        <v>0</v>
      </c>
      <c r="FM44" s="104">
        <f>SUM(FM46:FM47)</f>
        <v>0</v>
      </c>
      <c r="FN44" s="104">
        <f>SUM(FN46:FN47)</f>
        <v>0</v>
      </c>
      <c r="FO44" s="104">
        <f>FP44+FR44</f>
        <v>918008.26939000003</v>
      </c>
      <c r="FP44" s="104">
        <f>FP45+FP48</f>
        <v>918008.26939000003</v>
      </c>
      <c r="FQ44" s="104"/>
      <c r="FR44" s="104"/>
      <c r="FS44" s="629">
        <f t="shared" si="133"/>
        <v>982558.78031000006</v>
      </c>
      <c r="FT44" s="595">
        <f t="shared" si="81"/>
        <v>0.96517760204321168</v>
      </c>
      <c r="FU44" s="104">
        <f>FU45+FU48</f>
        <v>982558.78031000006</v>
      </c>
      <c r="FV44" s="595">
        <f t="shared" si="82"/>
        <v>0.96517760204321168</v>
      </c>
      <c r="FW44" s="522"/>
      <c r="FX44" s="666"/>
      <c r="FY44" s="104"/>
      <c r="FZ44" s="666"/>
      <c r="GA44" s="104">
        <f t="shared" si="83"/>
        <v>885843.72080999997</v>
      </c>
      <c r="GB44" s="595">
        <f t="shared" si="84"/>
        <v>0.87017340373944674</v>
      </c>
      <c r="GC44" s="104">
        <f>GC45+GC48</f>
        <v>885843.72080999997</v>
      </c>
      <c r="GD44" s="595">
        <f t="shared" si="85"/>
        <v>0.87017340373944674</v>
      </c>
      <c r="GE44" s="522"/>
      <c r="GF44" s="514"/>
      <c r="GG44" s="522"/>
      <c r="GH44" s="514"/>
      <c r="GI44" s="629">
        <f t="shared" si="136"/>
        <v>1018008.26939</v>
      </c>
      <c r="GJ44" s="595">
        <f t="shared" si="86"/>
        <v>1</v>
      </c>
      <c r="GK44" s="629">
        <f>GK45+GK48</f>
        <v>1018008.26939</v>
      </c>
      <c r="GL44" s="595">
        <f t="shared" si="87"/>
        <v>1</v>
      </c>
      <c r="GM44" s="629"/>
      <c r="GN44" s="595"/>
      <c r="GO44" s="629"/>
      <c r="GP44" s="595"/>
      <c r="GQ44" s="106"/>
      <c r="GR44" s="106"/>
      <c r="GS44" s="106"/>
      <c r="GT44" s="106"/>
      <c r="GU44" s="106">
        <f>GV44</f>
        <v>906709.3</v>
      </c>
      <c r="GV44" s="106">
        <f>GV45+GV48</f>
        <v>906709.3</v>
      </c>
      <c r="GW44" s="106"/>
      <c r="GX44" s="106"/>
      <c r="GY44" s="106"/>
      <c r="GZ44" s="106"/>
      <c r="HA44" s="106"/>
      <c r="HB44" s="106"/>
      <c r="HC44" s="106"/>
      <c r="HD44" s="106"/>
      <c r="HE44" s="106"/>
      <c r="HF44" s="106"/>
      <c r="HG44" s="106">
        <f>HH44+HJ44</f>
        <v>-400000</v>
      </c>
      <c r="HH44" s="106">
        <f>HH45+HH48</f>
        <v>-400000</v>
      </c>
      <c r="HI44" s="106"/>
      <c r="HJ44" s="106"/>
      <c r="HK44" s="106">
        <f>HL44</f>
        <v>0</v>
      </c>
      <c r="HL44" s="106">
        <f>HL46</f>
        <v>0</v>
      </c>
      <c r="HM44" s="106"/>
      <c r="HN44" s="106"/>
      <c r="HO44" s="106">
        <f>HP44</f>
        <v>506709.3</v>
      </c>
      <c r="HP44" s="106">
        <f>HP45+HP48</f>
        <v>506709.3</v>
      </c>
      <c r="HQ44" s="106"/>
      <c r="HR44" s="106"/>
      <c r="HS44" s="106">
        <f>HT44</f>
        <v>670936.9</v>
      </c>
      <c r="HT44" s="106">
        <f>HT45+HT48</f>
        <v>670936.9</v>
      </c>
      <c r="HU44" s="106"/>
      <c r="HV44" s="106"/>
      <c r="HW44" s="106">
        <f>HX44</f>
        <v>400000</v>
      </c>
      <c r="HX44" s="106">
        <f>HX45+HX48</f>
        <v>400000</v>
      </c>
      <c r="HY44" s="106"/>
      <c r="HZ44" s="106"/>
      <c r="IA44" s="106">
        <f>IB44</f>
        <v>1070936.8999999999</v>
      </c>
      <c r="IB44" s="106">
        <f>IB45+IB48</f>
        <v>1070936.8999999999</v>
      </c>
      <c r="IC44" s="106"/>
      <c r="ID44" s="106"/>
      <c r="IE44" s="112" t="s">
        <v>155</v>
      </c>
      <c r="IF44" s="113"/>
      <c r="IG44" s="113"/>
      <c r="IH44" s="113"/>
    </row>
    <row r="45" spans="2:249" s="202" customFormat="1" ht="41.25" customHeight="1" x14ac:dyDescent="0.25">
      <c r="B45" s="100"/>
      <c r="C45" s="101" t="s">
        <v>131</v>
      </c>
      <c r="D45" s="102"/>
      <c r="E45" s="103"/>
      <c r="F45" s="104"/>
      <c r="G45" s="104"/>
      <c r="H45" s="103"/>
      <c r="I45" s="104"/>
      <c r="J45" s="104"/>
      <c r="K45" s="103"/>
      <c r="L45" s="104"/>
      <c r="M45" s="104"/>
      <c r="N45" s="103"/>
      <c r="O45" s="104"/>
      <c r="P45" s="104"/>
      <c r="Q45" s="105"/>
      <c r="R45" s="106"/>
      <c r="S45" s="106"/>
      <c r="T45" s="105"/>
      <c r="U45" s="106"/>
      <c r="V45" s="106"/>
      <c r="W45" s="105"/>
      <c r="X45" s="106"/>
      <c r="Y45" s="106"/>
      <c r="Z45" s="105"/>
      <c r="AA45" s="106"/>
      <c r="AB45" s="106"/>
      <c r="AC45" s="106"/>
      <c r="AD45" s="106"/>
      <c r="AE45" s="106"/>
      <c r="AF45" s="106"/>
      <c r="AG45" s="106"/>
      <c r="AH45" s="106"/>
      <c r="AI45" s="106"/>
      <c r="AJ45" s="106"/>
      <c r="AK45" s="106"/>
      <c r="AL45" s="106"/>
      <c r="AM45" s="746"/>
      <c r="AN45" s="108"/>
      <c r="AO45" s="109"/>
      <c r="AP45" s="106"/>
      <c r="AQ45" s="106"/>
      <c r="AR45" s="106"/>
      <c r="AS45" s="105"/>
      <c r="AT45" s="106"/>
      <c r="AU45" s="106"/>
      <c r="AV45" s="105"/>
      <c r="AW45" s="106"/>
      <c r="AX45" s="106"/>
      <c r="AY45" s="105"/>
      <c r="AZ45" s="106"/>
      <c r="BA45" s="106"/>
      <c r="BB45" s="105"/>
      <c r="BC45" s="106"/>
      <c r="BD45" s="106"/>
      <c r="BE45" s="105"/>
      <c r="BF45" s="106"/>
      <c r="BG45" s="106"/>
      <c r="BH45" s="105"/>
      <c r="BI45" s="106"/>
      <c r="BJ45" s="106"/>
      <c r="BK45" s="110"/>
      <c r="BL45" s="106"/>
      <c r="BM45" s="106"/>
      <c r="BN45" s="106"/>
      <c r="BO45" s="106"/>
      <c r="BP45" s="106"/>
      <c r="BQ45" s="106"/>
      <c r="BR45" s="106"/>
      <c r="BS45" s="106"/>
      <c r="BT45" s="106"/>
      <c r="BU45" s="106"/>
      <c r="BV45" s="105"/>
      <c r="BW45" s="106"/>
      <c r="BX45" s="106"/>
      <c r="BY45" s="105"/>
      <c r="BZ45" s="106"/>
      <c r="CA45" s="106"/>
      <c r="CB45" s="105"/>
      <c r="CC45" s="106"/>
      <c r="CD45" s="106"/>
      <c r="CE45" s="106"/>
      <c r="CF45" s="106"/>
      <c r="CG45" s="111"/>
      <c r="CH45" s="105"/>
      <c r="CI45" s="106"/>
      <c r="CJ45" s="106"/>
      <c r="CK45" s="105"/>
      <c r="CL45" s="106"/>
      <c r="CM45" s="106"/>
      <c r="CN45" s="106"/>
      <c r="CO45" s="106"/>
      <c r="CP45" s="106"/>
      <c r="CQ45" s="105"/>
      <c r="CR45" s="106"/>
      <c r="CS45" s="106"/>
      <c r="CT45" s="105"/>
      <c r="CU45" s="106"/>
      <c r="CV45" s="106"/>
      <c r="CW45" s="105"/>
      <c r="CX45" s="106"/>
      <c r="CY45" s="106"/>
      <c r="CZ45" s="105"/>
      <c r="DA45" s="106"/>
      <c r="DB45" s="106"/>
      <c r="DC45" s="106"/>
      <c r="DD45" s="106"/>
      <c r="DE45" s="106"/>
      <c r="DF45" s="105"/>
      <c r="DG45" s="106"/>
      <c r="DH45" s="106"/>
      <c r="DI45" s="105"/>
      <c r="DJ45" s="106"/>
      <c r="DK45" s="106"/>
      <c r="DL45" s="105"/>
      <c r="DM45" s="106"/>
      <c r="DN45" s="106"/>
      <c r="DO45" s="105"/>
      <c r="DP45" s="106"/>
      <c r="DQ45" s="106"/>
      <c r="DR45" s="105"/>
      <c r="DS45" s="106"/>
      <c r="DT45" s="106"/>
      <c r="DU45" s="105"/>
      <c r="DV45" s="106"/>
      <c r="DW45" s="106"/>
      <c r="DX45" s="105"/>
      <c r="DY45" s="106"/>
      <c r="DZ45" s="106"/>
      <c r="EA45" s="106"/>
      <c r="EB45" s="106"/>
      <c r="EC45" s="106"/>
      <c r="ED45" s="105"/>
      <c r="EE45" s="106"/>
      <c r="EF45" s="106"/>
      <c r="EG45" s="106">
        <f>EH45</f>
        <v>7439.37</v>
      </c>
      <c r="EH45" s="106">
        <f>EH46+EH47</f>
        <v>7439.37</v>
      </c>
      <c r="EI45" s="106"/>
      <c r="EJ45" s="106"/>
      <c r="EK45" s="106">
        <f>EL45</f>
        <v>-7439.37</v>
      </c>
      <c r="EL45" s="106">
        <f>EL46+EL47</f>
        <v>-7439.37</v>
      </c>
      <c r="EM45" s="106"/>
      <c r="EN45" s="106"/>
      <c r="EO45" s="105"/>
      <c r="EP45" s="106"/>
      <c r="EQ45" s="106"/>
      <c r="ER45" s="106"/>
      <c r="ES45" s="106">
        <f>ET45</f>
        <v>0</v>
      </c>
      <c r="ET45" s="106">
        <f>ET46+ET47</f>
        <v>0</v>
      </c>
      <c r="EU45" s="106"/>
      <c r="EV45" s="106"/>
      <c r="EW45" s="105"/>
      <c r="EX45" s="106"/>
      <c r="EY45" s="106"/>
      <c r="EZ45" s="105"/>
      <c r="FA45" s="106"/>
      <c r="FB45" s="106"/>
      <c r="FC45" s="104">
        <f t="shared" si="130"/>
        <v>18008.269390000001</v>
      </c>
      <c r="FD45" s="104">
        <f>FD46+FD47</f>
        <v>18008.269390000001</v>
      </c>
      <c r="FE45" s="104"/>
      <c r="FF45" s="104"/>
      <c r="FG45" s="104">
        <f>FH45</f>
        <v>0</v>
      </c>
      <c r="FH45" s="104">
        <f>FH46+FH47</f>
        <v>0</v>
      </c>
      <c r="FI45" s="104"/>
      <c r="FJ45" s="104"/>
      <c r="FK45" s="103"/>
      <c r="FL45" s="104"/>
      <c r="FM45" s="104"/>
      <c r="FN45" s="104"/>
      <c r="FO45" s="104">
        <f>FP45</f>
        <v>18008.269390000001</v>
      </c>
      <c r="FP45" s="104">
        <f>FP46+FP47</f>
        <v>18008.269390000001</v>
      </c>
      <c r="FQ45" s="104"/>
      <c r="FR45" s="104"/>
      <c r="FS45" s="629">
        <f t="shared" si="133"/>
        <v>58720.734909999999</v>
      </c>
      <c r="FT45" s="595">
        <f>FS45/FC45</f>
        <v>3.260765020685866</v>
      </c>
      <c r="FU45" s="629">
        <f>FU46+FU47</f>
        <v>58720.734909999999</v>
      </c>
      <c r="FV45" s="595">
        <f t="shared" si="82"/>
        <v>3.260765020685866</v>
      </c>
      <c r="FW45" s="522"/>
      <c r="FX45" s="666"/>
      <c r="FY45" s="629"/>
      <c r="FZ45" s="666"/>
      <c r="GA45" s="629">
        <f t="shared" si="83"/>
        <v>15408.185460000001</v>
      </c>
      <c r="GB45" s="595">
        <f t="shared" si="84"/>
        <v>0.85561722374922777</v>
      </c>
      <c r="GC45" s="629">
        <f>GC46+GC47</f>
        <v>15408.185460000001</v>
      </c>
      <c r="GD45" s="595">
        <f t="shared" si="85"/>
        <v>0.85561722374922777</v>
      </c>
      <c r="GE45" s="522"/>
      <c r="GF45" s="514"/>
      <c r="GG45" s="522"/>
      <c r="GH45" s="514"/>
      <c r="GI45" s="629">
        <f t="shared" si="136"/>
        <v>18008.269390000001</v>
      </c>
      <c r="GJ45" s="595">
        <f t="shared" si="86"/>
        <v>1</v>
      </c>
      <c r="GK45" s="629">
        <f>GK47</f>
        <v>18008.269390000001</v>
      </c>
      <c r="GL45" s="595">
        <f t="shared" si="87"/>
        <v>1</v>
      </c>
      <c r="GM45" s="629"/>
      <c r="GN45" s="595"/>
      <c r="GO45" s="629"/>
      <c r="GP45" s="595"/>
      <c r="GQ45" s="106"/>
      <c r="GR45" s="106"/>
      <c r="GS45" s="106"/>
      <c r="GT45" s="106"/>
      <c r="GU45" s="106">
        <f>GV45</f>
        <v>6709.3</v>
      </c>
      <c r="GV45" s="106">
        <f>GV46+GV47</f>
        <v>6709.3</v>
      </c>
      <c r="GW45" s="106"/>
      <c r="GX45" s="106"/>
      <c r="GY45" s="106"/>
      <c r="GZ45" s="106"/>
      <c r="HA45" s="106"/>
      <c r="HB45" s="106"/>
      <c r="HC45" s="106"/>
      <c r="HD45" s="106"/>
      <c r="HE45" s="106"/>
      <c r="HF45" s="106"/>
      <c r="HG45" s="106">
        <f>HH45</f>
        <v>0</v>
      </c>
      <c r="HH45" s="106">
        <f>HH46+HH47</f>
        <v>0</v>
      </c>
      <c r="HI45" s="106"/>
      <c r="HJ45" s="106"/>
      <c r="HK45" s="106"/>
      <c r="HL45" s="106"/>
      <c r="HM45" s="106"/>
      <c r="HN45" s="106"/>
      <c r="HO45" s="106">
        <f>HP45</f>
        <v>6709.3</v>
      </c>
      <c r="HP45" s="106">
        <f>HP46+HP47</f>
        <v>6709.3</v>
      </c>
      <c r="HQ45" s="106"/>
      <c r="HR45" s="106"/>
      <c r="HS45" s="106">
        <f>HT45</f>
        <v>670936.9</v>
      </c>
      <c r="HT45" s="106">
        <f>HT46+HT47</f>
        <v>670936.9</v>
      </c>
      <c r="HU45" s="106"/>
      <c r="HV45" s="106"/>
      <c r="HW45" s="106"/>
      <c r="HX45" s="106"/>
      <c r="HY45" s="106"/>
      <c r="HZ45" s="106"/>
      <c r="IA45" s="106">
        <f>IB45</f>
        <v>670936.9</v>
      </c>
      <c r="IB45" s="106">
        <f>IB46+IB47</f>
        <v>670936.9</v>
      </c>
      <c r="IC45" s="106"/>
      <c r="ID45" s="106"/>
      <c r="IE45" s="112"/>
      <c r="IF45" s="113"/>
      <c r="IG45" s="113"/>
      <c r="IH45" s="113"/>
    </row>
    <row r="46" spans="2:249" s="171" customFormat="1" ht="56.25" hidden="1" customHeight="1" x14ac:dyDescent="0.25">
      <c r="B46" s="160"/>
      <c r="C46" s="172" t="s">
        <v>508</v>
      </c>
      <c r="D46" s="162" t="s">
        <v>147</v>
      </c>
      <c r="E46" s="163">
        <f t="shared" si="92"/>
        <v>0</v>
      </c>
      <c r="F46" s="163"/>
      <c r="G46" s="163"/>
      <c r="H46" s="163">
        <f t="shared" si="93"/>
        <v>0</v>
      </c>
      <c r="I46" s="163">
        <f>L46-F46</f>
        <v>0</v>
      </c>
      <c r="J46" s="163"/>
      <c r="K46" s="163">
        <f t="shared" si="94"/>
        <v>0</v>
      </c>
      <c r="L46" s="163"/>
      <c r="M46" s="163"/>
      <c r="N46" s="163">
        <f t="shared" si="95"/>
        <v>0</v>
      </c>
      <c r="O46" s="163">
        <f>R46-L46</f>
        <v>0</v>
      </c>
      <c r="P46" s="163"/>
      <c r="Q46" s="164">
        <f t="shared" si="96"/>
        <v>0</v>
      </c>
      <c r="R46" s="164"/>
      <c r="S46" s="164"/>
      <c r="T46" s="164">
        <f t="shared" si="97"/>
        <v>50000</v>
      </c>
      <c r="U46" s="164">
        <v>50000</v>
      </c>
      <c r="V46" s="164"/>
      <c r="W46" s="164">
        <f t="shared" si="98"/>
        <v>-50000</v>
      </c>
      <c r="X46" s="164">
        <f>AA46-U46</f>
        <v>-50000</v>
      </c>
      <c r="Y46" s="164"/>
      <c r="Z46" s="164">
        <f t="shared" si="99"/>
        <v>0</v>
      </c>
      <c r="AA46" s="164">
        <f>'[3]2017_с остатком на торги'!$AG$29</f>
        <v>0</v>
      </c>
      <c r="AB46" s="164"/>
      <c r="AC46" s="164">
        <f>AD46+AE46</f>
        <v>0</v>
      </c>
      <c r="AD46" s="164">
        <f>'[3]2017_с остатком на торги'!$AG$29</f>
        <v>0</v>
      </c>
      <c r="AE46" s="164"/>
      <c r="AF46" s="164">
        <f>AG46+AH46</f>
        <v>0</v>
      </c>
      <c r="AG46" s="164">
        <f>'[3]2017_с остатком на торги'!$AG$29</f>
        <v>0</v>
      </c>
      <c r="AH46" s="164"/>
      <c r="AI46" s="165">
        <v>0</v>
      </c>
      <c r="AJ46" s="164">
        <v>0</v>
      </c>
      <c r="AK46" s="164">
        <f t="shared" si="101"/>
        <v>0</v>
      </c>
      <c r="AL46" s="164">
        <f t="shared" si="139"/>
        <v>0</v>
      </c>
      <c r="AM46" s="746"/>
      <c r="AN46" s="164"/>
      <c r="AO46" s="166">
        <v>1</v>
      </c>
      <c r="AP46" s="164"/>
      <c r="AQ46" s="164"/>
      <c r="AR46" s="164"/>
      <c r="AS46" s="164">
        <f t="shared" si="102"/>
        <v>2000</v>
      </c>
      <c r="AT46" s="164">
        <v>2000</v>
      </c>
      <c r="AU46" s="164"/>
      <c r="AV46" s="164">
        <f t="shared" si="103"/>
        <v>0</v>
      </c>
      <c r="AW46" s="164">
        <f>AZ46-AT46</f>
        <v>0</v>
      </c>
      <c r="AX46" s="164"/>
      <c r="AY46" s="164">
        <f t="shared" si="104"/>
        <v>2000</v>
      </c>
      <c r="AZ46" s="164">
        <v>2000</v>
      </c>
      <c r="BA46" s="164"/>
      <c r="BB46" s="164">
        <f t="shared" si="105"/>
        <v>50000</v>
      </c>
      <c r="BC46" s="164">
        <v>50000</v>
      </c>
      <c r="BD46" s="164"/>
      <c r="BE46" s="164">
        <f t="shared" si="106"/>
        <v>0</v>
      </c>
      <c r="BF46" s="164">
        <f>BW46-BC46</f>
        <v>0</v>
      </c>
      <c r="BG46" s="164"/>
      <c r="BH46" s="164">
        <f t="shared" si="107"/>
        <v>2000</v>
      </c>
      <c r="BI46" s="164">
        <v>2000</v>
      </c>
      <c r="BJ46" s="164"/>
      <c r="BK46" s="167">
        <v>1</v>
      </c>
      <c r="BL46" s="168">
        <f t="shared" si="108"/>
        <v>2000</v>
      </c>
      <c r="BM46" s="168"/>
      <c r="BN46" s="168"/>
      <c r="BO46" s="168"/>
      <c r="BP46" s="168"/>
      <c r="BQ46" s="168"/>
      <c r="BR46" s="168"/>
      <c r="BS46" s="168">
        <f>BT46+BU46</f>
        <v>2000</v>
      </c>
      <c r="BT46" s="168">
        <f>AZ46-BN46-BQ46</f>
        <v>2000</v>
      </c>
      <c r="BU46" s="168"/>
      <c r="BV46" s="164">
        <f t="shared" si="110"/>
        <v>50000</v>
      </c>
      <c r="BW46" s="164">
        <v>50000</v>
      </c>
      <c r="BX46" s="164"/>
      <c r="BY46" s="164">
        <f t="shared" si="111"/>
        <v>540681.63300000003</v>
      </c>
      <c r="BZ46" s="164">
        <f>CC46-BI46</f>
        <v>540681.63300000003</v>
      </c>
      <c r="CA46" s="164"/>
      <c r="CB46" s="164">
        <f t="shared" si="112"/>
        <v>542681.63300000003</v>
      </c>
      <c r="CC46" s="164">
        <v>542681.63300000003</v>
      </c>
      <c r="CD46" s="164"/>
      <c r="CE46" s="168">
        <v>1</v>
      </c>
      <c r="CF46" s="168">
        <f t="shared" si="113"/>
        <v>542681.63300000003</v>
      </c>
      <c r="CG46" s="164"/>
      <c r="CH46" s="164">
        <f t="shared" si="114"/>
        <v>50000</v>
      </c>
      <c r="CI46" s="164">
        <v>50000</v>
      </c>
      <c r="CJ46" s="164"/>
      <c r="CK46" s="164">
        <f t="shared" si="115"/>
        <v>0</v>
      </c>
      <c r="CL46" s="164">
        <f>CR46-CI46</f>
        <v>0</v>
      </c>
      <c r="CM46" s="164"/>
      <c r="CN46" s="164"/>
      <c r="CO46" s="164"/>
      <c r="CP46" s="164"/>
      <c r="CQ46" s="164">
        <f t="shared" si="116"/>
        <v>50000</v>
      </c>
      <c r="CR46" s="164">
        <v>50000</v>
      </c>
      <c r="CS46" s="164"/>
      <c r="CT46" s="164">
        <f t="shared" si="117"/>
        <v>0</v>
      </c>
      <c r="CU46" s="164"/>
      <c r="CV46" s="164"/>
      <c r="CW46" s="164">
        <f t="shared" si="118"/>
        <v>103012.08199999999</v>
      </c>
      <c r="CX46" s="164">
        <v>103012.08199999999</v>
      </c>
      <c r="CY46" s="164"/>
      <c r="CZ46" s="164">
        <f t="shared" si="119"/>
        <v>544034.69400000002</v>
      </c>
      <c r="DA46" s="164">
        <v>544034.69400000002</v>
      </c>
      <c r="DB46" s="164"/>
      <c r="DC46" s="164"/>
      <c r="DD46" s="164"/>
      <c r="DE46" s="164"/>
      <c r="DF46" s="164">
        <f t="shared" si="120"/>
        <v>0</v>
      </c>
      <c r="DG46" s="164">
        <f>DJ46-CX46</f>
        <v>0</v>
      </c>
      <c r="DH46" s="164"/>
      <c r="DI46" s="164">
        <f t="shared" si="121"/>
        <v>103012.08199999999</v>
      </c>
      <c r="DJ46" s="164">
        <f>434057.633-331045.551</f>
        <v>103012.08199999999</v>
      </c>
      <c r="DK46" s="164"/>
      <c r="DL46" s="164">
        <f t="shared" si="122"/>
        <v>0</v>
      </c>
      <c r="DM46" s="164">
        <v>0</v>
      </c>
      <c r="DN46" s="164"/>
      <c r="DO46" s="164">
        <f t="shared" si="123"/>
        <v>0</v>
      </c>
      <c r="DP46" s="164">
        <v>0</v>
      </c>
      <c r="DQ46" s="164"/>
      <c r="DR46" s="164">
        <f t="shared" si="124"/>
        <v>103012.08199999999</v>
      </c>
      <c r="DS46" s="164">
        <f>DJ46-DM46-DP46</f>
        <v>103012.08199999999</v>
      </c>
      <c r="DT46" s="164"/>
      <c r="DU46" s="164">
        <f t="shared" si="125"/>
        <v>676531</v>
      </c>
      <c r="DV46" s="164">
        <v>676531</v>
      </c>
      <c r="DW46" s="164"/>
      <c r="DX46" s="164">
        <f t="shared" si="126"/>
        <v>545387.755</v>
      </c>
      <c r="DY46" s="164">
        <v>545387.755</v>
      </c>
      <c r="DZ46" s="164"/>
      <c r="EA46" s="164"/>
      <c r="EB46" s="164"/>
      <c r="EC46" s="164"/>
      <c r="ED46" s="164">
        <f>EE46+EF46</f>
        <v>-676531</v>
      </c>
      <c r="EE46" s="164">
        <f>EH46-DV46</f>
        <v>-676531</v>
      </c>
      <c r="EF46" s="164"/>
      <c r="EG46" s="164">
        <f>EH46</f>
        <v>0</v>
      </c>
      <c r="EH46" s="164">
        <v>0</v>
      </c>
      <c r="EI46" s="164"/>
      <c r="EJ46" s="164"/>
      <c r="EK46" s="164">
        <f t="shared" si="127"/>
        <v>0</v>
      </c>
      <c r="EL46" s="164"/>
      <c r="EM46" s="164"/>
      <c r="EN46" s="164"/>
      <c r="EO46" s="164">
        <f t="shared" si="128"/>
        <v>0</v>
      </c>
      <c r="EP46" s="164"/>
      <c r="EQ46" s="164"/>
      <c r="ER46" s="164"/>
      <c r="ES46" s="163">
        <f>ET46</f>
        <v>0</v>
      </c>
      <c r="ET46" s="164"/>
      <c r="EU46" s="164"/>
      <c r="EV46" s="164"/>
      <c r="EW46" s="164">
        <f t="shared" si="129"/>
        <v>743937</v>
      </c>
      <c r="EX46" s="164">
        <v>743937</v>
      </c>
      <c r="EY46" s="164"/>
      <c r="EZ46" s="164">
        <f t="shared" si="144"/>
        <v>-743937</v>
      </c>
      <c r="FA46" s="164">
        <f>FD46-EX46</f>
        <v>-743937</v>
      </c>
      <c r="FB46" s="164"/>
      <c r="FC46" s="163">
        <f t="shared" si="130"/>
        <v>0</v>
      </c>
      <c r="FD46" s="163">
        <v>0</v>
      </c>
      <c r="FE46" s="163"/>
      <c r="FF46" s="163"/>
      <c r="FG46" s="163">
        <f t="shared" si="131"/>
        <v>0</v>
      </c>
      <c r="FH46" s="163">
        <f>FP46-FD46</f>
        <v>0</v>
      </c>
      <c r="FI46" s="163"/>
      <c r="FJ46" s="163"/>
      <c r="FK46" s="163">
        <f t="shared" si="132"/>
        <v>0</v>
      </c>
      <c r="FL46" s="163"/>
      <c r="FM46" s="163"/>
      <c r="FN46" s="163"/>
      <c r="FO46" s="163">
        <f>FP46</f>
        <v>0</v>
      </c>
      <c r="FP46" s="163">
        <v>0</v>
      </c>
      <c r="FQ46" s="163"/>
      <c r="FR46" s="163"/>
      <c r="FS46" s="90">
        <f t="shared" si="133"/>
        <v>43312.549449999999</v>
      </c>
      <c r="FT46" s="518">
        <v>0</v>
      </c>
      <c r="FU46" s="90">
        <v>43312.549449999999</v>
      </c>
      <c r="FV46" s="518">
        <v>0</v>
      </c>
      <c r="FW46" s="87"/>
      <c r="FX46" s="665"/>
      <c r="FY46" s="90"/>
      <c r="FZ46" s="665"/>
      <c r="GA46" s="90"/>
      <c r="GB46" s="518"/>
      <c r="GC46" s="90"/>
      <c r="GD46" s="518"/>
      <c r="GE46" s="87"/>
      <c r="GF46" s="515"/>
      <c r="GG46" s="87"/>
      <c r="GH46" s="515"/>
      <c r="GI46" s="90">
        <f t="shared" si="136"/>
        <v>0</v>
      </c>
      <c r="GJ46" s="518">
        <v>0</v>
      </c>
      <c r="GK46" s="90">
        <v>0</v>
      </c>
      <c r="GL46" s="518">
        <v>0</v>
      </c>
      <c r="GM46" s="90"/>
      <c r="GN46" s="518"/>
      <c r="GO46" s="90"/>
      <c r="GP46" s="518"/>
      <c r="GQ46" s="164"/>
      <c r="GR46" s="164"/>
      <c r="GS46" s="164"/>
      <c r="GT46" s="164"/>
      <c r="GU46" s="164">
        <f>GV46</f>
        <v>0</v>
      </c>
      <c r="GV46" s="164">
        <v>0</v>
      </c>
      <c r="GW46" s="164"/>
      <c r="GX46" s="164"/>
      <c r="GY46" s="164"/>
      <c r="GZ46" s="164"/>
      <c r="HA46" s="164"/>
      <c r="HB46" s="164"/>
      <c r="HC46" s="164"/>
      <c r="HD46" s="164"/>
      <c r="HE46" s="164"/>
      <c r="HF46" s="164"/>
      <c r="HG46" s="164">
        <f>HH46+HJ46</f>
        <v>0</v>
      </c>
      <c r="HH46" s="164">
        <f>HP46-GV46</f>
        <v>0</v>
      </c>
      <c r="HI46" s="164"/>
      <c r="HJ46" s="164"/>
      <c r="HK46" s="164">
        <f>HL46</f>
        <v>0</v>
      </c>
      <c r="HL46" s="164">
        <f>IF46-GZ46</f>
        <v>0</v>
      </c>
      <c r="HM46" s="164"/>
      <c r="HN46" s="164"/>
      <c r="HO46" s="163">
        <f>HP46</f>
        <v>0</v>
      </c>
      <c r="HP46" s="164">
        <v>0</v>
      </c>
      <c r="HQ46" s="164"/>
      <c r="HR46" s="164"/>
      <c r="HS46" s="164">
        <f>HT46</f>
        <v>664024.24800000002</v>
      </c>
      <c r="HT46" s="164">
        <v>664024.24800000002</v>
      </c>
      <c r="HU46" s="164"/>
      <c r="HV46" s="164"/>
      <c r="HW46" s="164">
        <f>HX46</f>
        <v>0</v>
      </c>
      <c r="HX46" s="164">
        <f>IR46-HL46</f>
        <v>0</v>
      </c>
      <c r="HY46" s="164"/>
      <c r="HZ46" s="164"/>
      <c r="IA46" s="164">
        <f>IB46</f>
        <v>664024.24800000002</v>
      </c>
      <c r="IB46" s="164">
        <f>HT46</f>
        <v>664024.24800000002</v>
      </c>
      <c r="IC46" s="164"/>
      <c r="ID46" s="164"/>
      <c r="IE46" s="185"/>
      <c r="IF46" s="170"/>
      <c r="IG46" s="170"/>
      <c r="IH46" s="170"/>
    </row>
    <row r="47" spans="2:249" s="171" customFormat="1" ht="31.5" hidden="1" customHeight="1" x14ac:dyDescent="0.25">
      <c r="B47" s="160"/>
      <c r="C47" s="161" t="s">
        <v>148</v>
      </c>
      <c r="D47" s="162" t="s">
        <v>149</v>
      </c>
      <c r="E47" s="163">
        <f t="shared" si="92"/>
        <v>40000</v>
      </c>
      <c r="F47" s="163">
        <v>40000</v>
      </c>
      <c r="G47" s="163"/>
      <c r="H47" s="163">
        <f t="shared" si="93"/>
        <v>0</v>
      </c>
      <c r="I47" s="163">
        <f>L47-F47</f>
        <v>0</v>
      </c>
      <c r="J47" s="163"/>
      <c r="K47" s="163">
        <f t="shared" si="94"/>
        <v>40000</v>
      </c>
      <c r="L47" s="163">
        <v>40000</v>
      </c>
      <c r="M47" s="163"/>
      <c r="N47" s="163">
        <f t="shared" si="95"/>
        <v>-34933.333330000001</v>
      </c>
      <c r="O47" s="163">
        <f>R47-L47</f>
        <v>-34933.333330000001</v>
      </c>
      <c r="P47" s="163"/>
      <c r="Q47" s="164">
        <f t="shared" si="96"/>
        <v>5066.6666699999987</v>
      </c>
      <c r="R47" s="164">
        <f>40000-34933.33333</f>
        <v>5066.6666699999987</v>
      </c>
      <c r="S47" s="164"/>
      <c r="T47" s="164">
        <f t="shared" si="97"/>
        <v>0</v>
      </c>
      <c r="U47" s="164"/>
      <c r="V47" s="164"/>
      <c r="W47" s="164" t="e">
        <f t="shared" si="98"/>
        <v>#REF!</v>
      </c>
      <c r="X47" s="164" t="e">
        <f>AA47-U47</f>
        <v>#REF!</v>
      </c>
      <c r="Y47" s="164"/>
      <c r="Z47" s="164" t="e">
        <f t="shared" si="99"/>
        <v>#REF!</v>
      </c>
      <c r="AA47" s="164" t="e">
        <f>'[3]2017_с остатком на торги'!$AG$30</f>
        <v>#REF!</v>
      </c>
      <c r="AB47" s="164"/>
      <c r="AC47" s="164" t="e">
        <f>AD47+AE47</f>
        <v>#REF!</v>
      </c>
      <c r="AD47" s="164" t="e">
        <f>AG47-AA47</f>
        <v>#REF!</v>
      </c>
      <c r="AE47" s="164"/>
      <c r="AF47" s="164">
        <f>AG47+AH47</f>
        <v>7034.9280099999996</v>
      </c>
      <c r="AG47" s="164">
        <v>7034.9280099999996</v>
      </c>
      <c r="AH47" s="164"/>
      <c r="AI47" s="165" t="e">
        <f>AA47-AJ47</f>
        <v>#REF!</v>
      </c>
      <c r="AJ47" s="164" t="e">
        <f>AA47</f>
        <v>#REF!</v>
      </c>
      <c r="AK47" s="164" t="e">
        <f t="shared" si="101"/>
        <v>#REF!</v>
      </c>
      <c r="AL47" s="164" t="e">
        <f t="shared" si="139"/>
        <v>#REF!</v>
      </c>
      <c r="AM47" s="746"/>
      <c r="AN47" s="164"/>
      <c r="AO47" s="166">
        <v>1</v>
      </c>
      <c r="AP47" s="164">
        <v>6034.9280099999996</v>
      </c>
      <c r="AQ47" s="164"/>
      <c r="AR47" s="164">
        <f>AF47-AP47</f>
        <v>1000</v>
      </c>
      <c r="AS47" s="164">
        <f t="shared" si="102"/>
        <v>0</v>
      </c>
      <c r="AT47" s="164">
        <v>0</v>
      </c>
      <c r="AU47" s="164"/>
      <c r="AV47" s="164">
        <f t="shared" si="103"/>
        <v>0</v>
      </c>
      <c r="AW47" s="164">
        <v>0</v>
      </c>
      <c r="AX47" s="164"/>
      <c r="AY47" s="164">
        <f t="shared" si="104"/>
        <v>0</v>
      </c>
      <c r="AZ47" s="164">
        <v>0</v>
      </c>
      <c r="BA47" s="164"/>
      <c r="BB47" s="164">
        <f t="shared" si="105"/>
        <v>0</v>
      </c>
      <c r="BC47" s="164"/>
      <c r="BD47" s="164"/>
      <c r="BE47" s="164">
        <f t="shared" si="106"/>
        <v>0</v>
      </c>
      <c r="BF47" s="164">
        <f>BW47-BC47</f>
        <v>0</v>
      </c>
      <c r="BG47" s="164"/>
      <c r="BH47" s="164">
        <f t="shared" si="107"/>
        <v>0</v>
      </c>
      <c r="BI47" s="164">
        <v>0</v>
      </c>
      <c r="BJ47" s="164"/>
      <c r="BK47" s="167">
        <v>1</v>
      </c>
      <c r="BL47" s="168">
        <f t="shared" si="108"/>
        <v>0</v>
      </c>
      <c r="BM47" s="168"/>
      <c r="BN47" s="168"/>
      <c r="BO47" s="168"/>
      <c r="BP47" s="168"/>
      <c r="BQ47" s="168"/>
      <c r="BR47" s="168"/>
      <c r="BS47" s="168"/>
      <c r="BT47" s="168"/>
      <c r="BU47" s="168"/>
      <c r="BV47" s="164">
        <f t="shared" si="110"/>
        <v>0</v>
      </c>
      <c r="BW47" s="164"/>
      <c r="BX47" s="164"/>
      <c r="BY47" s="164">
        <f t="shared" si="111"/>
        <v>0</v>
      </c>
      <c r="BZ47" s="164">
        <f>CC47-BW47</f>
        <v>0</v>
      </c>
      <c r="CA47" s="164"/>
      <c r="CB47" s="164">
        <f t="shared" si="112"/>
        <v>0</v>
      </c>
      <c r="CC47" s="164"/>
      <c r="CD47" s="164"/>
      <c r="CE47" s="168">
        <v>1</v>
      </c>
      <c r="CF47" s="168">
        <f t="shared" si="113"/>
        <v>0</v>
      </c>
      <c r="CG47" s="164"/>
      <c r="CH47" s="164">
        <f t="shared" si="114"/>
        <v>0</v>
      </c>
      <c r="CI47" s="164">
        <v>0</v>
      </c>
      <c r="CJ47" s="164"/>
      <c r="CK47" s="164">
        <f t="shared" si="115"/>
        <v>0</v>
      </c>
      <c r="CL47" s="164">
        <v>0</v>
      </c>
      <c r="CM47" s="164"/>
      <c r="CN47" s="164"/>
      <c r="CO47" s="164"/>
      <c r="CP47" s="164"/>
      <c r="CQ47" s="164">
        <f t="shared" si="116"/>
        <v>0</v>
      </c>
      <c r="CR47" s="164">
        <v>0</v>
      </c>
      <c r="CS47" s="164"/>
      <c r="CT47" s="164">
        <f t="shared" si="117"/>
        <v>0</v>
      </c>
      <c r="CU47" s="164"/>
      <c r="CV47" s="164"/>
      <c r="CW47" s="164">
        <f t="shared" si="118"/>
        <v>108624</v>
      </c>
      <c r="CX47" s="164">
        <v>108624</v>
      </c>
      <c r="CY47" s="164"/>
      <c r="CZ47" s="164">
        <f t="shared" si="119"/>
        <v>0</v>
      </c>
      <c r="DA47" s="164">
        <v>0</v>
      </c>
      <c r="DB47" s="164"/>
      <c r="DC47" s="164"/>
      <c r="DD47" s="164"/>
      <c r="DE47" s="164"/>
      <c r="DF47" s="164">
        <f t="shared" si="120"/>
        <v>0</v>
      </c>
      <c r="DG47" s="164">
        <f>DJ47-CX47</f>
        <v>0</v>
      </c>
      <c r="DH47" s="164"/>
      <c r="DI47" s="164">
        <f t="shared" si="121"/>
        <v>108624</v>
      </c>
      <c r="DJ47" s="164">
        <v>108624</v>
      </c>
      <c r="DK47" s="164"/>
      <c r="DL47" s="164">
        <f t="shared" si="122"/>
        <v>105600</v>
      </c>
      <c r="DM47" s="164">
        <v>105600</v>
      </c>
      <c r="DN47" s="164"/>
      <c r="DO47" s="164">
        <f t="shared" si="123"/>
        <v>0</v>
      </c>
      <c r="DP47" s="164">
        <v>0</v>
      </c>
      <c r="DQ47" s="164"/>
      <c r="DR47" s="164">
        <f t="shared" si="124"/>
        <v>3024</v>
      </c>
      <c r="DS47" s="164">
        <f>DJ47-DM47-DP47</f>
        <v>3024</v>
      </c>
      <c r="DT47" s="164"/>
      <c r="DU47" s="164">
        <f t="shared" si="125"/>
        <v>0</v>
      </c>
      <c r="DV47" s="164">
        <v>0</v>
      </c>
      <c r="DW47" s="164"/>
      <c r="DX47" s="164">
        <f t="shared" si="126"/>
        <v>0</v>
      </c>
      <c r="DY47" s="164">
        <v>0</v>
      </c>
      <c r="DZ47" s="164"/>
      <c r="EA47" s="164"/>
      <c r="EB47" s="164"/>
      <c r="EC47" s="164"/>
      <c r="ED47" s="164">
        <f>EE47+EF47</f>
        <v>0</v>
      </c>
      <c r="EE47" s="164">
        <v>0</v>
      </c>
      <c r="EF47" s="164"/>
      <c r="EG47" s="164">
        <f>EH47</f>
        <v>7439.37</v>
      </c>
      <c r="EH47" s="164">
        <v>7439.37</v>
      </c>
      <c r="EI47" s="164"/>
      <c r="EJ47" s="164"/>
      <c r="EK47" s="164">
        <f t="shared" si="127"/>
        <v>-7439.37</v>
      </c>
      <c r="EL47" s="164">
        <f>ET47-EH47</f>
        <v>-7439.37</v>
      </c>
      <c r="EM47" s="164"/>
      <c r="EN47" s="164"/>
      <c r="EO47" s="164">
        <f t="shared" si="128"/>
        <v>0</v>
      </c>
      <c r="EP47" s="164"/>
      <c r="EQ47" s="164"/>
      <c r="ER47" s="164"/>
      <c r="ES47" s="163">
        <f>ET47</f>
        <v>0</v>
      </c>
      <c r="ET47" s="164"/>
      <c r="EU47" s="164"/>
      <c r="EV47" s="164"/>
      <c r="EW47" s="164">
        <f t="shared" si="129"/>
        <v>0</v>
      </c>
      <c r="EX47" s="164">
        <v>0</v>
      </c>
      <c r="EY47" s="164"/>
      <c r="EZ47" s="164">
        <f t="shared" si="144"/>
        <v>0</v>
      </c>
      <c r="FA47" s="164">
        <v>0</v>
      </c>
      <c r="FB47" s="164"/>
      <c r="FC47" s="163">
        <f t="shared" si="130"/>
        <v>18008.269390000001</v>
      </c>
      <c r="FD47" s="163">
        <v>18008.269390000001</v>
      </c>
      <c r="FE47" s="163"/>
      <c r="FF47" s="163"/>
      <c r="FG47" s="163">
        <f t="shared" si="131"/>
        <v>0</v>
      </c>
      <c r="FH47" s="163">
        <f>FP47-FD47</f>
        <v>0</v>
      </c>
      <c r="FI47" s="163"/>
      <c r="FJ47" s="163"/>
      <c r="FK47" s="163">
        <f t="shared" si="132"/>
        <v>0</v>
      </c>
      <c r="FL47" s="163"/>
      <c r="FM47" s="163"/>
      <c r="FN47" s="163"/>
      <c r="FO47" s="163">
        <f>FP47</f>
        <v>18008.269390000001</v>
      </c>
      <c r="FP47" s="163">
        <f>FD47</f>
        <v>18008.269390000001</v>
      </c>
      <c r="FQ47" s="163"/>
      <c r="FR47" s="163"/>
      <c r="FS47" s="90">
        <f t="shared" si="133"/>
        <v>15408.185460000001</v>
      </c>
      <c r="FT47" s="518">
        <f t="shared" si="81"/>
        <v>0.85561722374922777</v>
      </c>
      <c r="FU47" s="90">
        <v>15408.185460000001</v>
      </c>
      <c r="FV47" s="518">
        <f t="shared" si="82"/>
        <v>0.85561722374922777</v>
      </c>
      <c r="FW47" s="87"/>
      <c r="FX47" s="665"/>
      <c r="FY47" s="90"/>
      <c r="FZ47" s="665"/>
      <c r="GA47" s="90">
        <f t="shared" si="83"/>
        <v>15408.185460000001</v>
      </c>
      <c r="GB47" s="518">
        <f t="shared" si="84"/>
        <v>0.85561722374922777</v>
      </c>
      <c r="GC47" s="90">
        <v>15408.185460000001</v>
      </c>
      <c r="GD47" s="518">
        <f t="shared" si="85"/>
        <v>0.85561722374922777</v>
      </c>
      <c r="GE47" s="87"/>
      <c r="GF47" s="515"/>
      <c r="GG47" s="87"/>
      <c r="GH47" s="515"/>
      <c r="GI47" s="90">
        <f t="shared" si="136"/>
        <v>18008.269390000001</v>
      </c>
      <c r="GJ47" s="518">
        <f t="shared" si="86"/>
        <v>1</v>
      </c>
      <c r="GK47" s="90">
        <v>18008.269390000001</v>
      </c>
      <c r="GL47" s="518">
        <f t="shared" si="87"/>
        <v>1</v>
      </c>
      <c r="GM47" s="90"/>
      <c r="GN47" s="518"/>
      <c r="GO47" s="90"/>
      <c r="GP47" s="518"/>
      <c r="GQ47" s="164"/>
      <c r="GR47" s="164"/>
      <c r="GS47" s="164"/>
      <c r="GT47" s="164"/>
      <c r="GU47" s="164">
        <f>GV47</f>
        <v>6709.3</v>
      </c>
      <c r="GV47" s="164">
        <v>6709.3</v>
      </c>
      <c r="GW47" s="164"/>
      <c r="GX47" s="164"/>
      <c r="GY47" s="164"/>
      <c r="GZ47" s="164"/>
      <c r="HA47" s="164"/>
      <c r="HB47" s="164"/>
      <c r="HC47" s="164"/>
      <c r="HD47" s="164"/>
      <c r="HE47" s="164"/>
      <c r="HF47" s="164"/>
      <c r="HG47" s="164">
        <f>HH47+HJ47</f>
        <v>0</v>
      </c>
      <c r="HH47" s="164">
        <f>HP47-GV47</f>
        <v>0</v>
      </c>
      <c r="HI47" s="164"/>
      <c r="HJ47" s="164"/>
      <c r="HK47" s="164"/>
      <c r="HL47" s="164"/>
      <c r="HM47" s="164"/>
      <c r="HN47" s="164"/>
      <c r="HO47" s="163">
        <f>HP47</f>
        <v>6709.3</v>
      </c>
      <c r="HP47" s="164">
        <f>GV47</f>
        <v>6709.3</v>
      </c>
      <c r="HQ47" s="164"/>
      <c r="HR47" s="164"/>
      <c r="HS47" s="164">
        <f>HT47</f>
        <v>6912.652</v>
      </c>
      <c r="HT47" s="164">
        <v>6912.652</v>
      </c>
      <c r="HU47" s="164"/>
      <c r="HV47" s="164"/>
      <c r="HW47" s="164"/>
      <c r="HX47" s="164"/>
      <c r="HY47" s="164"/>
      <c r="HZ47" s="164"/>
      <c r="IA47" s="164">
        <f>IB47</f>
        <v>6912.652</v>
      </c>
      <c r="IB47" s="164">
        <f>HT47</f>
        <v>6912.652</v>
      </c>
      <c r="IC47" s="164"/>
      <c r="ID47" s="164"/>
      <c r="IE47" s="185"/>
      <c r="IF47" s="170"/>
      <c r="IG47" s="170"/>
      <c r="IH47" s="170"/>
    </row>
    <row r="48" spans="2:249" s="127" customFormat="1" ht="56.25" customHeight="1" x14ac:dyDescent="0.25">
      <c r="B48" s="115"/>
      <c r="C48" s="116" t="s">
        <v>132</v>
      </c>
      <c r="D48" s="117"/>
      <c r="E48" s="118"/>
      <c r="F48" s="118"/>
      <c r="G48" s="118"/>
      <c r="H48" s="118"/>
      <c r="I48" s="118"/>
      <c r="J48" s="118"/>
      <c r="K48" s="118"/>
      <c r="L48" s="118"/>
      <c r="M48" s="118"/>
      <c r="N48" s="118"/>
      <c r="O48" s="118"/>
      <c r="P48" s="118"/>
      <c r="Q48" s="119"/>
      <c r="R48" s="119"/>
      <c r="S48" s="119"/>
      <c r="T48" s="119"/>
      <c r="U48" s="119"/>
      <c r="V48" s="119"/>
      <c r="W48" s="119"/>
      <c r="X48" s="119"/>
      <c r="Y48" s="119"/>
      <c r="Z48" s="119"/>
      <c r="AA48" s="119"/>
      <c r="AB48" s="119"/>
      <c r="AC48" s="119"/>
      <c r="AD48" s="119"/>
      <c r="AE48" s="119"/>
      <c r="AF48" s="119"/>
      <c r="AG48" s="119"/>
      <c r="AH48" s="119"/>
      <c r="AI48" s="120"/>
      <c r="AJ48" s="119"/>
      <c r="AK48" s="119"/>
      <c r="AL48" s="119"/>
      <c r="AM48" s="121"/>
      <c r="AN48" s="119"/>
      <c r="AO48" s="122"/>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23"/>
      <c r="BL48" s="124"/>
      <c r="BM48" s="124"/>
      <c r="BN48" s="124"/>
      <c r="BO48" s="124"/>
      <c r="BP48" s="124"/>
      <c r="BQ48" s="124"/>
      <c r="BR48" s="124"/>
      <c r="BS48" s="124"/>
      <c r="BT48" s="124"/>
      <c r="BU48" s="124"/>
      <c r="BV48" s="119"/>
      <c r="BW48" s="119"/>
      <c r="BX48" s="119"/>
      <c r="BY48" s="119"/>
      <c r="BZ48" s="119"/>
      <c r="CA48" s="119"/>
      <c r="CB48" s="119"/>
      <c r="CC48" s="119"/>
      <c r="CD48" s="119"/>
      <c r="CE48" s="124"/>
      <c r="CF48" s="124"/>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f>EH48</f>
        <v>900000</v>
      </c>
      <c r="EH48" s="119">
        <v>900000</v>
      </c>
      <c r="EI48" s="119"/>
      <c r="EJ48" s="119"/>
      <c r="EK48" s="119">
        <f t="shared" si="127"/>
        <v>0</v>
      </c>
      <c r="EL48" s="119"/>
      <c r="EM48" s="119"/>
      <c r="EN48" s="119"/>
      <c r="EO48" s="119"/>
      <c r="EP48" s="119"/>
      <c r="EQ48" s="119"/>
      <c r="ER48" s="119"/>
      <c r="ES48" s="119">
        <f>ET48</f>
        <v>0</v>
      </c>
      <c r="ET48" s="119"/>
      <c r="EU48" s="119"/>
      <c r="EV48" s="119"/>
      <c r="EW48" s="119"/>
      <c r="EX48" s="119"/>
      <c r="EY48" s="119"/>
      <c r="EZ48" s="119"/>
      <c r="FA48" s="119"/>
      <c r="FB48" s="119"/>
      <c r="FC48" s="118">
        <f t="shared" si="130"/>
        <v>1000000</v>
      </c>
      <c r="FD48" s="118">
        <v>1000000</v>
      </c>
      <c r="FE48" s="118"/>
      <c r="FF48" s="118"/>
      <c r="FG48" s="118">
        <f t="shared" si="131"/>
        <v>-100000</v>
      </c>
      <c r="FH48" s="118">
        <f>FP48-FD48</f>
        <v>-100000</v>
      </c>
      <c r="FI48" s="118"/>
      <c r="FJ48" s="118"/>
      <c r="FK48" s="118"/>
      <c r="FL48" s="118"/>
      <c r="FM48" s="118"/>
      <c r="FN48" s="118"/>
      <c r="FO48" s="118">
        <f>FP48</f>
        <v>900000</v>
      </c>
      <c r="FP48" s="118">
        <v>900000</v>
      </c>
      <c r="FQ48" s="118"/>
      <c r="FR48" s="118"/>
      <c r="FS48" s="74">
        <f t="shared" si="57"/>
        <v>923838.04540000006</v>
      </c>
      <c r="FT48" s="487">
        <f t="shared" si="81"/>
        <v>0.92383804540000003</v>
      </c>
      <c r="FU48" s="74">
        <f>870435.53535+53402.51005</f>
        <v>923838.04540000006</v>
      </c>
      <c r="FV48" s="487">
        <f t="shared" si="82"/>
        <v>0.92383804540000003</v>
      </c>
      <c r="FW48" s="73"/>
      <c r="FX48" s="662"/>
      <c r="FY48" s="74"/>
      <c r="FZ48" s="662"/>
      <c r="GA48" s="74">
        <f t="shared" si="83"/>
        <v>870435.53535000002</v>
      </c>
      <c r="GB48" s="487">
        <f t="shared" si="84"/>
        <v>0.87043553535000007</v>
      </c>
      <c r="GC48" s="74">
        <v>870435.53535000002</v>
      </c>
      <c r="GD48" s="487">
        <f t="shared" si="85"/>
        <v>0.87043553535000007</v>
      </c>
      <c r="GE48" s="73"/>
      <c r="GF48" s="513"/>
      <c r="GG48" s="73"/>
      <c r="GH48" s="513"/>
      <c r="GI48" s="74">
        <f t="shared" si="136"/>
        <v>1000000</v>
      </c>
      <c r="GJ48" s="487">
        <f t="shared" si="86"/>
        <v>1</v>
      </c>
      <c r="GK48" s="74">
        <v>1000000</v>
      </c>
      <c r="GL48" s="487">
        <f t="shared" si="87"/>
        <v>1</v>
      </c>
      <c r="GM48" s="74"/>
      <c r="GN48" s="487"/>
      <c r="GO48" s="74"/>
      <c r="GP48" s="487"/>
      <c r="GQ48" s="119"/>
      <c r="GR48" s="119"/>
      <c r="GS48" s="119"/>
      <c r="GT48" s="119"/>
      <c r="GU48" s="119">
        <f>GV48</f>
        <v>900000</v>
      </c>
      <c r="GV48" s="119">
        <v>900000</v>
      </c>
      <c r="GW48" s="119"/>
      <c r="GX48" s="119"/>
      <c r="GY48" s="119"/>
      <c r="GZ48" s="119"/>
      <c r="HA48" s="119"/>
      <c r="HB48" s="119"/>
      <c r="HC48" s="119"/>
      <c r="HD48" s="119"/>
      <c r="HE48" s="119"/>
      <c r="HF48" s="119"/>
      <c r="HG48" s="119">
        <f>HH48+HJ48</f>
        <v>-400000</v>
      </c>
      <c r="HH48" s="119">
        <f>HP48-GV48</f>
        <v>-400000</v>
      </c>
      <c r="HI48" s="119"/>
      <c r="HJ48" s="119"/>
      <c r="HK48" s="119"/>
      <c r="HL48" s="119"/>
      <c r="HM48" s="119"/>
      <c r="HN48" s="119"/>
      <c r="HO48" s="119">
        <f>HP48</f>
        <v>500000</v>
      </c>
      <c r="HP48" s="119">
        <v>500000</v>
      </c>
      <c r="HQ48" s="119"/>
      <c r="HR48" s="119"/>
      <c r="HS48" s="119">
        <f>HT48</f>
        <v>0</v>
      </c>
      <c r="HT48" s="119">
        <v>0</v>
      </c>
      <c r="HU48" s="119"/>
      <c r="HV48" s="119"/>
      <c r="HW48" s="119">
        <f>HX48</f>
        <v>400000</v>
      </c>
      <c r="HX48" s="119">
        <f>IB48-HT48</f>
        <v>400000</v>
      </c>
      <c r="HY48" s="119"/>
      <c r="HZ48" s="119"/>
      <c r="IA48" s="119">
        <f>IB48</f>
        <v>400000</v>
      </c>
      <c r="IB48" s="119">
        <v>400000</v>
      </c>
      <c r="IC48" s="119"/>
      <c r="ID48" s="119"/>
      <c r="IE48" s="125"/>
      <c r="IF48" s="126"/>
      <c r="IG48" s="126"/>
      <c r="IH48" s="126"/>
    </row>
    <row r="49" spans="2:242" s="536" customFormat="1" ht="72.75" hidden="1" customHeight="1" x14ac:dyDescent="0.25">
      <c r="B49" s="537"/>
      <c r="C49" s="740" t="s">
        <v>477</v>
      </c>
      <c r="D49" s="741"/>
      <c r="E49" s="538"/>
      <c r="F49" s="538"/>
      <c r="G49" s="538"/>
      <c r="H49" s="538"/>
      <c r="I49" s="538"/>
      <c r="J49" s="538"/>
      <c r="K49" s="538"/>
      <c r="L49" s="538"/>
      <c r="M49" s="538"/>
      <c r="N49" s="538"/>
      <c r="O49" s="538"/>
      <c r="P49" s="538"/>
      <c r="Q49" s="539"/>
      <c r="R49" s="539"/>
      <c r="S49" s="539"/>
      <c r="T49" s="539"/>
      <c r="U49" s="539"/>
      <c r="V49" s="539"/>
      <c r="W49" s="539"/>
      <c r="X49" s="539"/>
      <c r="Y49" s="539"/>
      <c r="Z49" s="539"/>
      <c r="AA49" s="539"/>
      <c r="AB49" s="539"/>
      <c r="AC49" s="539"/>
      <c r="AD49" s="539"/>
      <c r="AE49" s="539"/>
      <c r="AF49" s="539"/>
      <c r="AG49" s="539"/>
      <c r="AH49" s="539"/>
      <c r="AI49" s="540"/>
      <c r="AJ49" s="539"/>
      <c r="AK49" s="539"/>
      <c r="AL49" s="539"/>
      <c r="AM49" s="541"/>
      <c r="AN49" s="539"/>
      <c r="AO49" s="542"/>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43"/>
      <c r="BL49" s="544"/>
      <c r="BM49" s="544"/>
      <c r="BN49" s="544"/>
      <c r="BO49" s="544"/>
      <c r="BP49" s="544"/>
      <c r="BQ49" s="544"/>
      <c r="BR49" s="544"/>
      <c r="BS49" s="544"/>
      <c r="BT49" s="544"/>
      <c r="BU49" s="544"/>
      <c r="BV49" s="539"/>
      <c r="BW49" s="539"/>
      <c r="BX49" s="539"/>
      <c r="BY49" s="539"/>
      <c r="BZ49" s="539"/>
      <c r="CA49" s="539"/>
      <c r="CB49" s="539"/>
      <c r="CC49" s="539"/>
      <c r="CD49" s="539"/>
      <c r="CE49" s="544"/>
      <c r="CF49" s="544"/>
      <c r="CG49" s="539"/>
      <c r="CH49" s="539"/>
      <c r="CI49" s="539"/>
      <c r="CJ49" s="539"/>
      <c r="CK49" s="539"/>
      <c r="CL49" s="539"/>
      <c r="CM49" s="539"/>
      <c r="CN49" s="539"/>
      <c r="CO49" s="539"/>
      <c r="CP49" s="539"/>
      <c r="CQ49" s="539"/>
      <c r="CR49" s="539"/>
      <c r="CS49" s="539"/>
      <c r="CT49" s="539"/>
      <c r="CU49" s="539"/>
      <c r="CV49" s="539"/>
      <c r="CW49" s="539"/>
      <c r="CX49" s="539"/>
      <c r="CY49" s="539"/>
      <c r="CZ49" s="539"/>
      <c r="DA49" s="539"/>
      <c r="DB49" s="539"/>
      <c r="DC49" s="539"/>
      <c r="DD49" s="539"/>
      <c r="DE49" s="539"/>
      <c r="DF49" s="539"/>
      <c r="DG49" s="539"/>
      <c r="DH49" s="539"/>
      <c r="DI49" s="539"/>
      <c r="DJ49" s="539"/>
      <c r="DK49" s="539"/>
      <c r="DL49" s="539"/>
      <c r="DM49" s="539"/>
      <c r="DN49" s="539"/>
      <c r="DO49" s="539"/>
      <c r="DP49" s="539"/>
      <c r="DQ49" s="539"/>
      <c r="DR49" s="539"/>
      <c r="DS49" s="539"/>
      <c r="DT49" s="539"/>
      <c r="DU49" s="539"/>
      <c r="DV49" s="539"/>
      <c r="DW49" s="539"/>
      <c r="DX49" s="539"/>
      <c r="DY49" s="539"/>
      <c r="DZ49" s="539"/>
      <c r="EA49" s="539"/>
      <c r="EB49" s="539"/>
      <c r="EC49" s="539"/>
      <c r="ED49" s="539"/>
      <c r="EE49" s="539"/>
      <c r="EF49" s="539"/>
      <c r="EG49" s="539"/>
      <c r="EH49" s="539"/>
      <c r="EI49" s="539"/>
      <c r="EJ49" s="539"/>
      <c r="EK49" s="539"/>
      <c r="EL49" s="539"/>
      <c r="EM49" s="539"/>
      <c r="EN49" s="539"/>
      <c r="EO49" s="539"/>
      <c r="EP49" s="539"/>
      <c r="EQ49" s="539"/>
      <c r="ER49" s="539"/>
      <c r="ES49" s="539"/>
      <c r="ET49" s="539"/>
      <c r="EU49" s="539"/>
      <c r="EV49" s="539"/>
      <c r="EW49" s="539"/>
      <c r="EX49" s="539"/>
      <c r="EY49" s="539"/>
      <c r="EZ49" s="539"/>
      <c r="FA49" s="539"/>
      <c r="FB49" s="539"/>
      <c r="FC49" s="530">
        <f>FD49+FE49+FF49</f>
        <v>0</v>
      </c>
      <c r="FD49" s="530">
        <v>0</v>
      </c>
      <c r="FE49" s="530">
        <v>0</v>
      </c>
      <c r="FF49" s="530">
        <v>0</v>
      </c>
      <c r="FG49" s="538"/>
      <c r="FH49" s="538"/>
      <c r="FI49" s="538"/>
      <c r="FJ49" s="538"/>
      <c r="FK49" s="538"/>
      <c r="FL49" s="538"/>
      <c r="FM49" s="538"/>
      <c r="FN49" s="538"/>
      <c r="FO49" s="538"/>
      <c r="FP49" s="538"/>
      <c r="FQ49" s="538"/>
      <c r="FR49" s="538"/>
      <c r="FS49" s="530">
        <f t="shared" si="57"/>
        <v>53402.510049999997</v>
      </c>
      <c r="FT49" s="531">
        <v>0</v>
      </c>
      <c r="FU49" s="530">
        <v>53402.510049999997</v>
      </c>
      <c r="FV49" s="531">
        <v>0</v>
      </c>
      <c r="FW49" s="529"/>
      <c r="FX49" s="663"/>
      <c r="FY49" s="530"/>
      <c r="FZ49" s="663"/>
      <c r="GA49" s="530"/>
      <c r="GB49" s="531"/>
      <c r="GC49" s="530"/>
      <c r="GD49" s="531"/>
      <c r="GE49" s="529"/>
      <c r="GF49" s="532"/>
      <c r="GG49" s="529"/>
      <c r="GH49" s="532"/>
      <c r="GI49" s="630"/>
      <c r="GJ49" s="531"/>
      <c r="GK49" s="630"/>
      <c r="GL49" s="531"/>
      <c r="GM49" s="630"/>
      <c r="GN49" s="531"/>
      <c r="GO49" s="630"/>
      <c r="GP49" s="531"/>
      <c r="GQ49" s="539"/>
      <c r="GR49" s="539"/>
      <c r="GS49" s="539"/>
      <c r="GT49" s="539"/>
      <c r="GU49" s="539"/>
      <c r="GV49" s="539"/>
      <c r="GW49" s="539"/>
      <c r="GX49" s="539"/>
      <c r="GY49" s="539"/>
      <c r="GZ49" s="539"/>
      <c r="HA49" s="539"/>
      <c r="HB49" s="539"/>
      <c r="HC49" s="539"/>
      <c r="HD49" s="539"/>
      <c r="HE49" s="539"/>
      <c r="HF49" s="539"/>
      <c r="HG49" s="539"/>
      <c r="HH49" s="539"/>
      <c r="HI49" s="539"/>
      <c r="HJ49" s="539"/>
      <c r="HK49" s="539"/>
      <c r="HL49" s="539"/>
      <c r="HM49" s="539"/>
      <c r="HN49" s="539"/>
      <c r="HO49" s="539"/>
      <c r="HP49" s="539"/>
      <c r="HQ49" s="539"/>
      <c r="HR49" s="539"/>
      <c r="HS49" s="539"/>
      <c r="HT49" s="539"/>
      <c r="HU49" s="539"/>
      <c r="HV49" s="539"/>
      <c r="HW49" s="539"/>
      <c r="HX49" s="539"/>
      <c r="HY49" s="539"/>
      <c r="HZ49" s="539"/>
      <c r="IA49" s="539"/>
      <c r="IB49" s="539"/>
      <c r="IC49" s="539"/>
      <c r="ID49" s="539"/>
      <c r="IE49" s="545"/>
      <c r="IF49" s="546"/>
      <c r="IG49" s="546"/>
      <c r="IH49" s="546"/>
    </row>
    <row r="50" spans="2:242" s="251" customFormat="1" ht="72.75" hidden="1" customHeight="1" x14ac:dyDescent="0.25">
      <c r="B50" s="241"/>
      <c r="C50" s="777"/>
      <c r="D50" s="778"/>
      <c r="E50" s="201"/>
      <c r="F50" s="201"/>
      <c r="G50" s="201"/>
      <c r="H50" s="201"/>
      <c r="I50" s="201"/>
      <c r="J50" s="201"/>
      <c r="K50" s="201"/>
      <c r="L50" s="201"/>
      <c r="M50" s="201"/>
      <c r="N50" s="201"/>
      <c r="O50" s="201"/>
      <c r="P50" s="201"/>
      <c r="Q50" s="192"/>
      <c r="R50" s="192"/>
      <c r="S50" s="192"/>
      <c r="T50" s="192"/>
      <c r="U50" s="192"/>
      <c r="V50" s="192"/>
      <c r="W50" s="192"/>
      <c r="X50" s="192"/>
      <c r="Y50" s="192"/>
      <c r="Z50" s="192"/>
      <c r="AA50" s="192"/>
      <c r="AB50" s="192"/>
      <c r="AC50" s="192"/>
      <c r="AD50" s="192"/>
      <c r="AE50" s="192"/>
      <c r="AF50" s="192"/>
      <c r="AG50" s="192"/>
      <c r="AH50" s="192"/>
      <c r="AI50" s="249"/>
      <c r="AJ50" s="192"/>
      <c r="AK50" s="192"/>
      <c r="AL50" s="192"/>
      <c r="AM50" s="248"/>
      <c r="AN50" s="192"/>
      <c r="AO50" s="155"/>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56"/>
      <c r="BL50" s="154"/>
      <c r="BM50" s="154"/>
      <c r="BN50" s="154"/>
      <c r="BO50" s="154"/>
      <c r="BP50" s="154"/>
      <c r="BQ50" s="154"/>
      <c r="BR50" s="154"/>
      <c r="BS50" s="154"/>
      <c r="BT50" s="154"/>
      <c r="BU50" s="154"/>
      <c r="BV50" s="192"/>
      <c r="BW50" s="192"/>
      <c r="BX50" s="192"/>
      <c r="BY50" s="192"/>
      <c r="BZ50" s="192"/>
      <c r="CA50" s="192"/>
      <c r="CB50" s="192"/>
      <c r="CC50" s="192"/>
      <c r="CD50" s="192"/>
      <c r="CE50" s="154"/>
      <c r="CF50" s="154"/>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c r="EW50" s="192"/>
      <c r="EX50" s="192"/>
      <c r="EY50" s="192"/>
      <c r="EZ50" s="192"/>
      <c r="FA50" s="192"/>
      <c r="FB50" s="192"/>
      <c r="FC50" s="39"/>
      <c r="FD50" s="39"/>
      <c r="FE50" s="39"/>
      <c r="FF50" s="39"/>
      <c r="FG50" s="201"/>
      <c r="FH50" s="201"/>
      <c r="FI50" s="201"/>
      <c r="FJ50" s="201"/>
      <c r="FK50" s="201"/>
      <c r="FL50" s="201"/>
      <c r="FM50" s="201"/>
      <c r="FN50" s="201"/>
      <c r="FO50" s="201"/>
      <c r="FP50" s="201"/>
      <c r="FQ50" s="201"/>
      <c r="FR50" s="201"/>
      <c r="FS50" s="39"/>
      <c r="FT50" s="485"/>
      <c r="FU50" s="39"/>
      <c r="FV50" s="485"/>
      <c r="FW50" s="38"/>
      <c r="FX50" s="660"/>
      <c r="FY50" s="39"/>
      <c r="FZ50" s="660"/>
      <c r="GA50" s="39"/>
      <c r="GB50" s="485"/>
      <c r="GC50" s="39"/>
      <c r="GD50" s="485"/>
      <c r="GE50" s="38"/>
      <c r="GF50" s="498"/>
      <c r="GG50" s="38"/>
      <c r="GH50" s="498"/>
      <c r="GI50" s="677"/>
      <c r="GJ50" s="485"/>
      <c r="GK50" s="677"/>
      <c r="GL50" s="485"/>
      <c r="GM50" s="677"/>
      <c r="GN50" s="485"/>
      <c r="GO50" s="677"/>
      <c r="GP50" s="485"/>
      <c r="GQ50" s="192"/>
      <c r="GR50" s="192"/>
      <c r="GS50" s="192"/>
      <c r="GT50" s="192"/>
      <c r="GU50" s="192"/>
      <c r="GV50" s="192"/>
      <c r="GW50" s="192"/>
      <c r="GX50" s="192"/>
      <c r="GY50" s="192"/>
      <c r="GZ50" s="192"/>
      <c r="HA50" s="192"/>
      <c r="HB50" s="192"/>
      <c r="HC50" s="192"/>
      <c r="HD50" s="192"/>
      <c r="HE50" s="192"/>
      <c r="HF50" s="192"/>
      <c r="HG50" s="192"/>
      <c r="HH50" s="192"/>
      <c r="HI50" s="192"/>
      <c r="HJ50" s="192"/>
      <c r="HK50" s="192"/>
      <c r="HL50" s="192"/>
      <c r="HM50" s="192"/>
      <c r="HN50" s="192"/>
      <c r="HO50" s="192"/>
      <c r="HP50" s="192"/>
      <c r="HQ50" s="192"/>
      <c r="HR50" s="192"/>
      <c r="HS50" s="192"/>
      <c r="HT50" s="192"/>
      <c r="HU50" s="192"/>
      <c r="HV50" s="192"/>
      <c r="HW50" s="192"/>
      <c r="HX50" s="192"/>
      <c r="HY50" s="192"/>
      <c r="HZ50" s="192"/>
      <c r="IA50" s="192"/>
      <c r="IB50" s="192"/>
      <c r="IC50" s="192"/>
      <c r="ID50" s="192"/>
      <c r="IE50" s="678"/>
      <c r="IF50" s="356"/>
      <c r="IG50" s="356"/>
      <c r="IH50" s="356"/>
    </row>
    <row r="51" spans="2:242" s="202" customFormat="1" ht="135.75" customHeight="1" x14ac:dyDescent="0.25">
      <c r="B51" s="100" t="s">
        <v>156</v>
      </c>
      <c r="C51" s="101" t="s">
        <v>157</v>
      </c>
      <c r="D51" s="102" t="s">
        <v>158</v>
      </c>
      <c r="E51" s="103">
        <f t="shared" si="92"/>
        <v>60000.000002096698</v>
      </c>
      <c r="F51" s="104">
        <f>SUM(F53:F54)</f>
        <v>60000.000002096698</v>
      </c>
      <c r="G51" s="104">
        <f>SUM(G53:G54)</f>
        <v>0</v>
      </c>
      <c r="H51" s="103">
        <f t="shared" si="93"/>
        <v>-23500.000002096702</v>
      </c>
      <c r="I51" s="104">
        <f>SUM(I53:I54)</f>
        <v>-23500.000002096702</v>
      </c>
      <c r="J51" s="104"/>
      <c r="K51" s="103">
        <f t="shared" si="94"/>
        <v>36500</v>
      </c>
      <c r="L51" s="104">
        <f>SUM(L53:L54)</f>
        <v>36500</v>
      </c>
      <c r="M51" s="104">
        <f>SUM(M53:M54)</f>
        <v>0</v>
      </c>
      <c r="N51" s="103">
        <f t="shared" si="95"/>
        <v>-20012.20204</v>
      </c>
      <c r="O51" s="104">
        <f>SUM(O53:O54)</f>
        <v>-20012.20204</v>
      </c>
      <c r="P51" s="104"/>
      <c r="Q51" s="105">
        <f t="shared" si="96"/>
        <v>16487.79796</v>
      </c>
      <c r="R51" s="106">
        <f>SUM(R53:R54)</f>
        <v>16487.79796</v>
      </c>
      <c r="S51" s="106">
        <f>SUM(S53:S54)</f>
        <v>0</v>
      </c>
      <c r="T51" s="105">
        <f t="shared" si="97"/>
        <v>60000</v>
      </c>
      <c r="U51" s="106">
        <f>SUM(U53:U54)</f>
        <v>60000</v>
      </c>
      <c r="V51" s="106">
        <f>SUM(V53:V54)</f>
        <v>0</v>
      </c>
      <c r="W51" s="105">
        <f t="shared" si="98"/>
        <v>-60000</v>
      </c>
      <c r="X51" s="106">
        <f>SUM(X53:X54)</f>
        <v>-60000</v>
      </c>
      <c r="Y51" s="106"/>
      <c r="Z51" s="105" t="e">
        <f>Z53+Z54+Z56</f>
        <v>#REF!</v>
      </c>
      <c r="AA51" s="106" t="e">
        <f>AA53+AA54+AA56</f>
        <v>#REF!</v>
      </c>
      <c r="AB51" s="106">
        <f>SUM(AB53:AB54)</f>
        <v>0</v>
      </c>
      <c r="AC51" s="106">
        <f>SUM(AC53:AC54)</f>
        <v>0</v>
      </c>
      <c r="AD51" s="106">
        <f>AD53+AD54+AD56</f>
        <v>0</v>
      </c>
      <c r="AE51" s="106">
        <f>SUM(AE53:AE54)</f>
        <v>0</v>
      </c>
      <c r="AF51" s="106" t="e">
        <f>AF53+AF54+AF56</f>
        <v>#REF!</v>
      </c>
      <c r="AG51" s="106" t="e">
        <f>AG53+AG54+AG56</f>
        <v>#REF!</v>
      </c>
      <c r="AH51" s="106">
        <f>SUM(AH53:AH54)</f>
        <v>0</v>
      </c>
      <c r="AI51" s="106">
        <v>0</v>
      </c>
      <c r="AJ51" s="106">
        <f>SUM(AJ53:AJ54)</f>
        <v>0</v>
      </c>
      <c r="AK51" s="106" t="e">
        <f t="shared" si="101"/>
        <v>#REF!</v>
      </c>
      <c r="AL51" s="106" t="e">
        <f t="shared" si="139"/>
        <v>#REF!</v>
      </c>
      <c r="AM51" s="746" t="s">
        <v>159</v>
      </c>
      <c r="AN51" s="108" t="s">
        <v>479</v>
      </c>
      <c r="AO51" s="109">
        <v>1</v>
      </c>
      <c r="AP51" s="108"/>
      <c r="AQ51" s="108"/>
      <c r="AR51" s="106" t="e">
        <f>AR56</f>
        <v>#REF!</v>
      </c>
      <c r="AS51" s="105">
        <f t="shared" si="102"/>
        <v>10000</v>
      </c>
      <c r="AT51" s="106">
        <f>SUM(AT53:AT54)</f>
        <v>10000</v>
      </c>
      <c r="AU51" s="106">
        <f>SUM(AU53:AU54)</f>
        <v>0</v>
      </c>
      <c r="AV51" s="105">
        <f t="shared" si="103"/>
        <v>0</v>
      </c>
      <c r="AW51" s="106">
        <f>SUM(AW53:AW54)</f>
        <v>0</v>
      </c>
      <c r="AX51" s="106"/>
      <c r="AY51" s="105">
        <f t="shared" si="104"/>
        <v>10000</v>
      </c>
      <c r="AZ51" s="106">
        <f>SUM(AZ53:AZ54)</f>
        <v>10000</v>
      </c>
      <c r="BA51" s="106">
        <f>SUM(BA53:BA54)</f>
        <v>0</v>
      </c>
      <c r="BB51" s="105">
        <f t="shared" si="105"/>
        <v>40000</v>
      </c>
      <c r="BC51" s="106">
        <f>SUM(BC53:BC54)</f>
        <v>40000</v>
      </c>
      <c r="BD51" s="106">
        <f>SUM(BD53:BD54)</f>
        <v>0</v>
      </c>
      <c r="BE51" s="105">
        <f t="shared" si="106"/>
        <v>0</v>
      </c>
      <c r="BF51" s="106">
        <f>SUM(BF53:BF54)</f>
        <v>0</v>
      </c>
      <c r="BG51" s="106"/>
      <c r="BH51" s="105">
        <f t="shared" si="107"/>
        <v>10000</v>
      </c>
      <c r="BI51" s="106">
        <f>SUM(BI53:BI54)</f>
        <v>10000</v>
      </c>
      <c r="BJ51" s="106">
        <f>SUM(BJ53:BJ54)</f>
        <v>0</v>
      </c>
      <c r="BK51" s="110">
        <v>1</v>
      </c>
      <c r="BL51" s="106">
        <f t="shared" si="108"/>
        <v>10000</v>
      </c>
      <c r="BM51" s="106"/>
      <c r="BN51" s="106"/>
      <c r="BO51" s="106"/>
      <c r="BP51" s="106"/>
      <c r="BQ51" s="106"/>
      <c r="BR51" s="106"/>
      <c r="BS51" s="106">
        <f>BS53+BS54</f>
        <v>10000</v>
      </c>
      <c r="BT51" s="106">
        <f>BT53+BT54</f>
        <v>10000</v>
      </c>
      <c r="BU51" s="106">
        <f>BU53+BU54</f>
        <v>0</v>
      </c>
      <c r="BV51" s="105">
        <f t="shared" si="110"/>
        <v>40000</v>
      </c>
      <c r="BW51" s="106">
        <f>SUM(BW53:BW54)</f>
        <v>40000</v>
      </c>
      <c r="BX51" s="106">
        <f>SUM(BX53:BX54)</f>
        <v>0</v>
      </c>
      <c r="BY51" s="105">
        <f t="shared" si="111"/>
        <v>200000</v>
      </c>
      <c r="BZ51" s="106">
        <f>SUM(BZ53:BZ54)</f>
        <v>200000</v>
      </c>
      <c r="CA51" s="106"/>
      <c r="CB51" s="105">
        <f t="shared" si="112"/>
        <v>210000</v>
      </c>
      <c r="CC51" s="106">
        <f>SUM(CC53:CC54)</f>
        <v>210000</v>
      </c>
      <c r="CD51" s="106">
        <f>SUM(CD53:CD54)</f>
        <v>0</v>
      </c>
      <c r="CE51" s="106">
        <v>1</v>
      </c>
      <c r="CF51" s="106">
        <f t="shared" si="113"/>
        <v>210000</v>
      </c>
      <c r="CG51" s="105"/>
      <c r="CH51" s="105">
        <f t="shared" si="114"/>
        <v>48840</v>
      </c>
      <c r="CI51" s="106">
        <f>SUM(CI53:CI54)</f>
        <v>48840</v>
      </c>
      <c r="CJ51" s="106">
        <f>SUM(CJ53:CJ54)</f>
        <v>0</v>
      </c>
      <c r="CK51" s="105">
        <f t="shared" si="115"/>
        <v>0</v>
      </c>
      <c r="CL51" s="106">
        <f>SUM(CL53:CL54)</f>
        <v>0</v>
      </c>
      <c r="CM51" s="106"/>
      <c r="CN51" s="106"/>
      <c r="CO51" s="106"/>
      <c r="CP51" s="106"/>
      <c r="CQ51" s="105">
        <f t="shared" si="116"/>
        <v>48840</v>
      </c>
      <c r="CR51" s="106">
        <f>SUM(CR53:CR54)</f>
        <v>48840</v>
      </c>
      <c r="CS51" s="106">
        <f>SUM(CS53:CS54)</f>
        <v>0</v>
      </c>
      <c r="CT51" s="105">
        <f t="shared" si="117"/>
        <v>0</v>
      </c>
      <c r="CU51" s="106"/>
      <c r="CV51" s="106"/>
      <c r="CW51" s="105">
        <f t="shared" si="118"/>
        <v>234516.68966</v>
      </c>
      <c r="CX51" s="106">
        <f>CX53+CX54+CX55+CX56</f>
        <v>234516.68966</v>
      </c>
      <c r="CY51" s="106"/>
      <c r="CZ51" s="105">
        <f t="shared" si="119"/>
        <v>287140</v>
      </c>
      <c r="DA51" s="106">
        <f>SUM(DA53:DA54)</f>
        <v>287140</v>
      </c>
      <c r="DB51" s="106">
        <f>SUM(DB53:DB54)</f>
        <v>0</v>
      </c>
      <c r="DC51" s="106"/>
      <c r="DD51" s="106"/>
      <c r="DE51" s="106"/>
      <c r="DF51" s="105">
        <f t="shared" si="120"/>
        <v>-234516.68966</v>
      </c>
      <c r="DG51" s="106">
        <f>SUM(DG53:DG56)</f>
        <v>-234516.68966</v>
      </c>
      <c r="DH51" s="106"/>
      <c r="DI51" s="105">
        <f t="shared" si="121"/>
        <v>0</v>
      </c>
      <c r="DJ51" s="106">
        <f>SUM(DJ53:DJ56)</f>
        <v>0</v>
      </c>
      <c r="DK51" s="106"/>
      <c r="DL51" s="105">
        <f t="shared" si="122"/>
        <v>215282.01291000002</v>
      </c>
      <c r="DM51" s="106">
        <f>SUM(DM53:DM54)</f>
        <v>215282.01291000002</v>
      </c>
      <c r="DN51" s="106"/>
      <c r="DO51" s="105">
        <f t="shared" si="123"/>
        <v>4746.4650799999999</v>
      </c>
      <c r="DP51" s="106">
        <f>DP53+DP54+DP55+DP56</f>
        <v>4746.4650799999999</v>
      </c>
      <c r="DQ51" s="106"/>
      <c r="DR51" s="105">
        <f t="shared" si="124"/>
        <v>-220028.47798999998</v>
      </c>
      <c r="DS51" s="106">
        <f>DS53+DS54+DS55+DS56</f>
        <v>-220028.47798999998</v>
      </c>
      <c r="DT51" s="106"/>
      <c r="DU51" s="105">
        <f t="shared" si="125"/>
        <v>287140</v>
      </c>
      <c r="DV51" s="106">
        <f>SUM(DV53:DV54)</f>
        <v>287140</v>
      </c>
      <c r="DW51" s="106"/>
      <c r="DX51" s="105">
        <f t="shared" si="126"/>
        <v>690541.68420000002</v>
      </c>
      <c r="DY51" s="106">
        <f>SUM(DY53:DY54)</f>
        <v>690541.68420000002</v>
      </c>
      <c r="DZ51" s="106">
        <f>SUM(DZ53:DZ54)</f>
        <v>0</v>
      </c>
      <c r="EA51" s="106"/>
      <c r="EB51" s="106"/>
      <c r="EC51" s="106"/>
      <c r="ED51" s="106">
        <f>EE51</f>
        <v>-287140</v>
      </c>
      <c r="EE51" s="106">
        <f>EE53+EE54</f>
        <v>-287140</v>
      </c>
      <c r="EF51" s="106"/>
      <c r="EG51" s="106">
        <f>EH51+EJ51</f>
        <v>400000</v>
      </c>
      <c r="EH51" s="106">
        <f>EH52+EH57</f>
        <v>400000</v>
      </c>
      <c r="EI51" s="106"/>
      <c r="EJ51" s="106"/>
      <c r="EK51" s="106">
        <f t="shared" si="127"/>
        <v>0</v>
      </c>
      <c r="EL51" s="106">
        <f>EL52+EL57</f>
        <v>0</v>
      </c>
      <c r="EM51" s="106"/>
      <c r="EN51" s="106"/>
      <c r="EO51" s="105">
        <f t="shared" si="128"/>
        <v>0</v>
      </c>
      <c r="EP51" s="106">
        <f>SUM(EP53:EP54)</f>
        <v>0</v>
      </c>
      <c r="EQ51" s="106"/>
      <c r="ER51" s="106"/>
      <c r="ES51" s="106">
        <f>ET51+EV51</f>
        <v>0</v>
      </c>
      <c r="ET51" s="106">
        <f>ET52+ET57</f>
        <v>0</v>
      </c>
      <c r="EU51" s="106"/>
      <c r="EV51" s="106"/>
      <c r="EW51" s="105">
        <f t="shared" si="129"/>
        <v>690541.68420000002</v>
      </c>
      <c r="EX51" s="106">
        <f>SUM(EX53:EX54)</f>
        <v>690541.68420000002</v>
      </c>
      <c r="EY51" s="106">
        <f>SUM(EY53:EY54)</f>
        <v>0</v>
      </c>
      <c r="EZ51" s="106">
        <f t="shared" si="144"/>
        <v>-690541.68420000002</v>
      </c>
      <c r="FA51" s="106">
        <f>FA53+FA54</f>
        <v>-690541.68420000002</v>
      </c>
      <c r="FB51" s="106"/>
      <c r="FC51" s="104">
        <f>FD51+FF51</f>
        <v>400000</v>
      </c>
      <c r="FD51" s="104">
        <f>FD52+FD57</f>
        <v>400000</v>
      </c>
      <c r="FE51" s="104"/>
      <c r="FF51" s="104"/>
      <c r="FG51" s="104">
        <f t="shared" si="131"/>
        <v>0</v>
      </c>
      <c r="FH51" s="104">
        <f>FH52+FH57</f>
        <v>0</v>
      </c>
      <c r="FI51" s="104"/>
      <c r="FJ51" s="104"/>
      <c r="FK51" s="103">
        <f t="shared" si="132"/>
        <v>0</v>
      </c>
      <c r="FL51" s="104">
        <f>SUM(FL53:FL54)</f>
        <v>0</v>
      </c>
      <c r="FM51" s="104"/>
      <c r="FN51" s="104"/>
      <c r="FO51" s="104">
        <f>FP51+FR51</f>
        <v>400000</v>
      </c>
      <c r="FP51" s="104">
        <f>FP52+FP57</f>
        <v>400000</v>
      </c>
      <c r="FQ51" s="104"/>
      <c r="FR51" s="104"/>
      <c r="FS51" s="629">
        <f>FU51</f>
        <v>597004.95947999996</v>
      </c>
      <c r="FT51" s="595">
        <f t="shared" si="81"/>
        <v>1.4925123987</v>
      </c>
      <c r="FU51" s="629">
        <f>FU57</f>
        <v>597004.95947999996</v>
      </c>
      <c r="FV51" s="595">
        <f t="shared" si="82"/>
        <v>1.4925123987</v>
      </c>
      <c r="FW51" s="522"/>
      <c r="FX51" s="666"/>
      <c r="FY51" s="629"/>
      <c r="FZ51" s="666"/>
      <c r="GA51" s="629">
        <f t="shared" si="83"/>
        <v>400000</v>
      </c>
      <c r="GB51" s="595">
        <f t="shared" si="84"/>
        <v>1</v>
      </c>
      <c r="GC51" s="629">
        <f>GC57</f>
        <v>400000</v>
      </c>
      <c r="GD51" s="595">
        <f t="shared" si="85"/>
        <v>1</v>
      </c>
      <c r="GE51" s="522"/>
      <c r="GF51" s="514"/>
      <c r="GG51" s="522"/>
      <c r="GH51" s="514"/>
      <c r="GI51" s="629">
        <f>GK51</f>
        <v>400000</v>
      </c>
      <c r="GJ51" s="595">
        <f t="shared" si="86"/>
        <v>1</v>
      </c>
      <c r="GK51" s="629">
        <f>GK57</f>
        <v>400000</v>
      </c>
      <c r="GL51" s="595">
        <f t="shared" si="87"/>
        <v>1</v>
      </c>
      <c r="GM51" s="629"/>
      <c r="GN51" s="595"/>
      <c r="GO51" s="629"/>
      <c r="GP51" s="595"/>
      <c r="GQ51" s="106"/>
      <c r="GR51" s="106"/>
      <c r="GS51" s="106"/>
      <c r="GT51" s="106"/>
      <c r="GU51" s="106">
        <f>GV51+GX51</f>
        <v>300000</v>
      </c>
      <c r="GV51" s="106">
        <f>GV52+GV57</f>
        <v>300000</v>
      </c>
      <c r="GW51" s="106"/>
      <c r="GX51" s="106"/>
      <c r="GY51" s="106"/>
      <c r="GZ51" s="106"/>
      <c r="HA51" s="106"/>
      <c r="HB51" s="106"/>
      <c r="HC51" s="106"/>
      <c r="HD51" s="106"/>
      <c r="HE51" s="106"/>
      <c r="HF51" s="106"/>
      <c r="HG51" s="106">
        <f>HH51+HJ51</f>
        <v>-146000</v>
      </c>
      <c r="HH51" s="106">
        <f>HH52+HH57</f>
        <v>-146000</v>
      </c>
      <c r="HI51" s="106"/>
      <c r="HJ51" s="106"/>
      <c r="HK51" s="106">
        <f>HL51</f>
        <v>0</v>
      </c>
      <c r="HL51" s="106">
        <f>HL53+HL54</f>
        <v>0</v>
      </c>
      <c r="HM51" s="106"/>
      <c r="HN51" s="106"/>
      <c r="HO51" s="106">
        <f>HP51+HR51</f>
        <v>154000</v>
      </c>
      <c r="HP51" s="106">
        <f>HP52+HP57</f>
        <v>154000</v>
      </c>
      <c r="HQ51" s="106"/>
      <c r="HR51" s="106"/>
      <c r="HS51" s="106">
        <f>HT51+HV51</f>
        <v>0</v>
      </c>
      <c r="HT51" s="106">
        <f>HT52+HT57</f>
        <v>0</v>
      </c>
      <c r="HU51" s="106"/>
      <c r="HV51" s="106"/>
      <c r="HW51" s="106">
        <f>HX51</f>
        <v>0</v>
      </c>
      <c r="HX51" s="106">
        <f>HX53+HX54</f>
        <v>0</v>
      </c>
      <c r="HY51" s="106"/>
      <c r="HZ51" s="106"/>
      <c r="IA51" s="106">
        <f>IB51+ID51</f>
        <v>0</v>
      </c>
      <c r="IB51" s="106">
        <f>IB52+IB57</f>
        <v>0</v>
      </c>
      <c r="IC51" s="106"/>
      <c r="ID51" s="106"/>
      <c r="IE51" s="112" t="s">
        <v>160</v>
      </c>
      <c r="IF51" s="173"/>
      <c r="IG51" s="173"/>
      <c r="IH51" s="173"/>
    </row>
    <row r="52" spans="2:242" s="114" customFormat="1" ht="41.25" hidden="1" customHeight="1" x14ac:dyDescent="0.25">
      <c r="B52" s="100"/>
      <c r="C52" s="101" t="s">
        <v>131</v>
      </c>
      <c r="D52" s="102"/>
      <c r="E52" s="103"/>
      <c r="F52" s="104"/>
      <c r="G52" s="104"/>
      <c r="H52" s="103"/>
      <c r="I52" s="104"/>
      <c r="J52" s="104"/>
      <c r="K52" s="103"/>
      <c r="L52" s="104"/>
      <c r="M52" s="104"/>
      <c r="N52" s="103"/>
      <c r="O52" s="104"/>
      <c r="P52" s="104"/>
      <c r="Q52" s="105"/>
      <c r="R52" s="106"/>
      <c r="S52" s="106"/>
      <c r="T52" s="105"/>
      <c r="U52" s="106"/>
      <c r="V52" s="106"/>
      <c r="W52" s="105"/>
      <c r="X52" s="106"/>
      <c r="Y52" s="106"/>
      <c r="Z52" s="105"/>
      <c r="AA52" s="106"/>
      <c r="AB52" s="106"/>
      <c r="AC52" s="106"/>
      <c r="AD52" s="106"/>
      <c r="AE52" s="106"/>
      <c r="AF52" s="106"/>
      <c r="AG52" s="106"/>
      <c r="AH52" s="106"/>
      <c r="AI52" s="106"/>
      <c r="AJ52" s="106"/>
      <c r="AK52" s="106"/>
      <c r="AL52" s="106"/>
      <c r="AM52" s="746"/>
      <c r="AN52" s="108"/>
      <c r="AO52" s="109"/>
      <c r="AP52" s="106"/>
      <c r="AQ52" s="106"/>
      <c r="AR52" s="106"/>
      <c r="AS52" s="105"/>
      <c r="AT52" s="106"/>
      <c r="AU52" s="106"/>
      <c r="AV52" s="105"/>
      <c r="AW52" s="106"/>
      <c r="AX52" s="106"/>
      <c r="AY52" s="105"/>
      <c r="AZ52" s="106"/>
      <c r="BA52" s="106"/>
      <c r="BB52" s="105"/>
      <c r="BC52" s="106"/>
      <c r="BD52" s="106"/>
      <c r="BE52" s="105"/>
      <c r="BF52" s="106"/>
      <c r="BG52" s="106"/>
      <c r="BH52" s="105"/>
      <c r="BI52" s="106"/>
      <c r="BJ52" s="106"/>
      <c r="BK52" s="110"/>
      <c r="BL52" s="106"/>
      <c r="BM52" s="106"/>
      <c r="BN52" s="106"/>
      <c r="BO52" s="106"/>
      <c r="BP52" s="106"/>
      <c r="BQ52" s="106"/>
      <c r="BR52" s="106"/>
      <c r="BS52" s="106"/>
      <c r="BT52" s="106"/>
      <c r="BU52" s="106"/>
      <c r="BV52" s="105"/>
      <c r="BW52" s="106"/>
      <c r="BX52" s="106"/>
      <c r="BY52" s="105"/>
      <c r="BZ52" s="106"/>
      <c r="CA52" s="106"/>
      <c r="CB52" s="105"/>
      <c r="CC52" s="106"/>
      <c r="CD52" s="106"/>
      <c r="CE52" s="106"/>
      <c r="CF52" s="106"/>
      <c r="CG52" s="111"/>
      <c r="CH52" s="105"/>
      <c r="CI52" s="106"/>
      <c r="CJ52" s="106"/>
      <c r="CK52" s="105"/>
      <c r="CL52" s="106"/>
      <c r="CM52" s="106"/>
      <c r="CN52" s="106"/>
      <c r="CO52" s="106"/>
      <c r="CP52" s="106"/>
      <c r="CQ52" s="105"/>
      <c r="CR52" s="106"/>
      <c r="CS52" s="106"/>
      <c r="CT52" s="105"/>
      <c r="CU52" s="106"/>
      <c r="CV52" s="106"/>
      <c r="CW52" s="105"/>
      <c r="CX52" s="106"/>
      <c r="CY52" s="106"/>
      <c r="CZ52" s="105"/>
      <c r="DA52" s="106"/>
      <c r="DB52" s="106"/>
      <c r="DC52" s="106"/>
      <c r="DD52" s="106"/>
      <c r="DE52" s="106"/>
      <c r="DF52" s="105"/>
      <c r="DG52" s="106"/>
      <c r="DH52" s="106"/>
      <c r="DI52" s="105"/>
      <c r="DJ52" s="106"/>
      <c r="DK52" s="106"/>
      <c r="DL52" s="105"/>
      <c r="DM52" s="106"/>
      <c r="DN52" s="106"/>
      <c r="DO52" s="105"/>
      <c r="DP52" s="106"/>
      <c r="DQ52" s="106"/>
      <c r="DR52" s="105"/>
      <c r="DS52" s="106"/>
      <c r="DT52" s="106"/>
      <c r="DU52" s="105"/>
      <c r="DV52" s="106"/>
      <c r="DW52" s="106"/>
      <c r="DX52" s="105"/>
      <c r="DY52" s="106"/>
      <c r="DZ52" s="106"/>
      <c r="EA52" s="106"/>
      <c r="EB52" s="106"/>
      <c r="EC52" s="106"/>
      <c r="ED52" s="105"/>
      <c r="EE52" s="106"/>
      <c r="EF52" s="106"/>
      <c r="EG52" s="106">
        <f>EH52</f>
        <v>0</v>
      </c>
      <c r="EH52" s="106">
        <f>EH53+EH54</f>
        <v>0</v>
      </c>
      <c r="EI52" s="106"/>
      <c r="EJ52" s="106"/>
      <c r="EK52" s="105"/>
      <c r="EL52" s="106"/>
      <c r="EM52" s="106"/>
      <c r="EN52" s="106"/>
      <c r="EO52" s="105"/>
      <c r="EP52" s="106"/>
      <c r="EQ52" s="106"/>
      <c r="ER52" s="106"/>
      <c r="ES52" s="106">
        <f>ET52</f>
        <v>0</v>
      </c>
      <c r="ET52" s="106">
        <f>ET53+ET54</f>
        <v>0</v>
      </c>
      <c r="EU52" s="106"/>
      <c r="EV52" s="106"/>
      <c r="EW52" s="105"/>
      <c r="EX52" s="106"/>
      <c r="EY52" s="106"/>
      <c r="EZ52" s="105"/>
      <c r="FA52" s="106"/>
      <c r="FB52" s="106"/>
      <c r="FC52" s="104"/>
      <c r="FD52" s="104"/>
      <c r="FE52" s="104"/>
      <c r="FF52" s="104"/>
      <c r="FG52" s="103"/>
      <c r="FH52" s="104"/>
      <c r="FI52" s="104"/>
      <c r="FJ52" s="104"/>
      <c r="FK52" s="103"/>
      <c r="FL52" s="104"/>
      <c r="FM52" s="104"/>
      <c r="FN52" s="104"/>
      <c r="FO52" s="104">
        <f>FP52</f>
        <v>0</v>
      </c>
      <c r="FP52" s="104">
        <f>FP53+FP54</f>
        <v>0</v>
      </c>
      <c r="FQ52" s="104"/>
      <c r="FR52" s="104"/>
      <c r="FS52" s="39">
        <f t="shared" si="57"/>
        <v>0</v>
      </c>
      <c r="FT52" s="485" t="e">
        <f t="shared" si="81"/>
        <v>#DIV/0!</v>
      </c>
      <c r="FU52" s="39">
        <v>0</v>
      </c>
      <c r="FV52" s="485" t="e">
        <f t="shared" si="82"/>
        <v>#DIV/0!</v>
      </c>
      <c r="FW52" s="38"/>
      <c r="FX52" s="660"/>
      <c r="FY52" s="39"/>
      <c r="FZ52" s="660"/>
      <c r="GA52" s="39">
        <f t="shared" si="83"/>
        <v>0</v>
      </c>
      <c r="GB52" s="485" t="e">
        <f t="shared" si="84"/>
        <v>#DIV/0!</v>
      </c>
      <c r="GC52" s="39">
        <v>0</v>
      </c>
      <c r="GD52" s="485" t="e">
        <f t="shared" si="85"/>
        <v>#DIV/0!</v>
      </c>
      <c r="GE52" s="82"/>
      <c r="GF52" s="498"/>
      <c r="GG52" s="82"/>
      <c r="GH52" s="498"/>
      <c r="GI52" s="90" t="e">
        <f>GK52+GM52+GO52</f>
        <v>#REF!</v>
      </c>
      <c r="GJ52" s="485" t="e">
        <f t="shared" si="86"/>
        <v>#REF!</v>
      </c>
      <c r="GK52" s="90" t="e">
        <f>GK307+#REF!</f>
        <v>#REF!</v>
      </c>
      <c r="GL52" s="485" t="e">
        <f t="shared" si="87"/>
        <v>#REF!</v>
      </c>
      <c r="GM52" s="90"/>
      <c r="GN52" s="485"/>
      <c r="GO52" s="90"/>
      <c r="GP52" s="485"/>
      <c r="GQ52" s="106"/>
      <c r="GR52" s="106"/>
      <c r="GS52" s="106"/>
      <c r="GT52" s="106"/>
      <c r="GU52" s="106"/>
      <c r="GV52" s="106"/>
      <c r="GW52" s="106"/>
      <c r="GX52" s="106"/>
      <c r="GY52" s="106"/>
      <c r="GZ52" s="106"/>
      <c r="HA52" s="106"/>
      <c r="HB52" s="106"/>
      <c r="HC52" s="106"/>
      <c r="HD52" s="106"/>
      <c r="HE52" s="106"/>
      <c r="HF52" s="106"/>
      <c r="HG52" s="105"/>
      <c r="HH52" s="106"/>
      <c r="HI52" s="106"/>
      <c r="HJ52" s="106"/>
      <c r="HK52" s="106"/>
      <c r="HL52" s="106"/>
      <c r="HM52" s="106"/>
      <c r="HN52" s="106"/>
      <c r="HO52" s="106"/>
      <c r="HP52" s="106"/>
      <c r="HQ52" s="106"/>
      <c r="HR52" s="106"/>
      <c r="HS52" s="106"/>
      <c r="HT52" s="106"/>
      <c r="HU52" s="106"/>
      <c r="HV52" s="106"/>
      <c r="HW52" s="106"/>
      <c r="HX52" s="106"/>
      <c r="HY52" s="106"/>
      <c r="HZ52" s="106"/>
      <c r="IA52" s="106"/>
      <c r="IB52" s="106"/>
      <c r="IC52" s="106"/>
      <c r="ID52" s="106"/>
      <c r="IE52" s="112"/>
      <c r="IF52" s="113"/>
      <c r="IG52" s="113"/>
      <c r="IH52" s="113"/>
    </row>
    <row r="53" spans="2:242" s="171" customFormat="1" ht="33" hidden="1" customHeight="1" x14ac:dyDescent="0.25">
      <c r="B53" s="160"/>
      <c r="C53" s="161" t="s">
        <v>146</v>
      </c>
      <c r="D53" s="162"/>
      <c r="E53" s="163">
        <f t="shared" si="92"/>
        <v>53512.202042096702</v>
      </c>
      <c r="F53" s="163">
        <v>53512.202042096702</v>
      </c>
      <c r="G53" s="163"/>
      <c r="H53" s="163">
        <f t="shared" si="93"/>
        <v>-23500.000002096702</v>
      </c>
      <c r="I53" s="163">
        <f>L53-F53</f>
        <v>-23500.000002096702</v>
      </c>
      <c r="J53" s="163"/>
      <c r="K53" s="163">
        <f t="shared" si="94"/>
        <v>30012.20204</v>
      </c>
      <c r="L53" s="163">
        <v>30012.20204</v>
      </c>
      <c r="M53" s="163"/>
      <c r="N53" s="163">
        <f t="shared" si="95"/>
        <v>-20012.20204</v>
      </c>
      <c r="O53" s="163">
        <f>R53-L53</f>
        <v>-20012.20204</v>
      </c>
      <c r="P53" s="163"/>
      <c r="Q53" s="164">
        <f t="shared" si="96"/>
        <v>10000</v>
      </c>
      <c r="R53" s="164">
        <f>30012.20204-20012.20204</f>
        <v>10000</v>
      </c>
      <c r="S53" s="164"/>
      <c r="T53" s="164">
        <f t="shared" si="97"/>
        <v>60000</v>
      </c>
      <c r="U53" s="164">
        <v>60000</v>
      </c>
      <c r="V53" s="164"/>
      <c r="W53" s="164">
        <f t="shared" si="98"/>
        <v>-60000</v>
      </c>
      <c r="X53" s="164">
        <f>AA53-U53</f>
        <v>-60000</v>
      </c>
      <c r="Y53" s="164"/>
      <c r="Z53" s="164">
        <f>AA53+AB53</f>
        <v>0</v>
      </c>
      <c r="AA53" s="164">
        <f>'[3]2017_с остатком на торги'!$AG$51</f>
        <v>0</v>
      </c>
      <c r="AB53" s="164"/>
      <c r="AC53" s="164">
        <f>AD53+AE53</f>
        <v>0</v>
      </c>
      <c r="AD53" s="164">
        <f>'[3]2017_с остатком на торги'!$AG$51</f>
        <v>0</v>
      </c>
      <c r="AE53" s="164"/>
      <c r="AF53" s="164">
        <f>AG53+AH53</f>
        <v>0</v>
      </c>
      <c r="AG53" s="164">
        <f>'[3]2017_с остатком на торги'!$AG$51</f>
        <v>0</v>
      </c>
      <c r="AH53" s="164"/>
      <c r="AI53" s="165">
        <v>0</v>
      </c>
      <c r="AJ53" s="164">
        <v>0</v>
      </c>
      <c r="AK53" s="165">
        <f t="shared" si="101"/>
        <v>0</v>
      </c>
      <c r="AL53" s="165">
        <f t="shared" si="139"/>
        <v>0</v>
      </c>
      <c r="AM53" s="746"/>
      <c r="AN53" s="174"/>
      <c r="AO53" s="166">
        <v>1</v>
      </c>
      <c r="AP53" s="174"/>
      <c r="AQ53" s="174"/>
      <c r="AR53" s="174"/>
      <c r="AS53" s="164">
        <f t="shared" si="102"/>
        <v>10000</v>
      </c>
      <c r="AT53" s="164">
        <v>10000</v>
      </c>
      <c r="AU53" s="164"/>
      <c r="AV53" s="164">
        <f t="shared" si="103"/>
        <v>0</v>
      </c>
      <c r="AW53" s="164">
        <f>AZ53-AT53</f>
        <v>0</v>
      </c>
      <c r="AX53" s="164"/>
      <c r="AY53" s="164">
        <f t="shared" si="104"/>
        <v>10000</v>
      </c>
      <c r="AZ53" s="164">
        <v>10000</v>
      </c>
      <c r="BA53" s="164"/>
      <c r="BB53" s="164">
        <f t="shared" si="105"/>
        <v>40000</v>
      </c>
      <c r="BC53" s="164">
        <v>40000</v>
      </c>
      <c r="BD53" s="164"/>
      <c r="BE53" s="164">
        <f t="shared" si="106"/>
        <v>0</v>
      </c>
      <c r="BF53" s="164">
        <f>BW53-BC53</f>
        <v>0</v>
      </c>
      <c r="BG53" s="164"/>
      <c r="BH53" s="164">
        <f t="shared" si="107"/>
        <v>10000</v>
      </c>
      <c r="BI53" s="164">
        <v>10000</v>
      </c>
      <c r="BJ53" s="164"/>
      <c r="BK53" s="167">
        <v>1</v>
      </c>
      <c r="BL53" s="168">
        <f t="shared" si="108"/>
        <v>10000</v>
      </c>
      <c r="BM53" s="168"/>
      <c r="BN53" s="168"/>
      <c r="BO53" s="168"/>
      <c r="BP53" s="168"/>
      <c r="BQ53" s="168"/>
      <c r="BR53" s="168"/>
      <c r="BS53" s="168">
        <f>BT53+BU53</f>
        <v>10000</v>
      </c>
      <c r="BT53" s="168">
        <f>AZ53-BN53-BQ53</f>
        <v>10000</v>
      </c>
      <c r="BU53" s="168"/>
      <c r="BV53" s="164">
        <f t="shared" si="110"/>
        <v>40000</v>
      </c>
      <c r="BW53" s="164">
        <v>40000</v>
      </c>
      <c r="BX53" s="164"/>
      <c r="BY53" s="164">
        <f t="shared" si="111"/>
        <v>200000</v>
      </c>
      <c r="BZ53" s="164">
        <f>CC53-BI53</f>
        <v>200000</v>
      </c>
      <c r="CA53" s="164"/>
      <c r="CB53" s="164">
        <f t="shared" si="112"/>
        <v>210000</v>
      </c>
      <c r="CC53" s="164">
        <v>210000</v>
      </c>
      <c r="CD53" s="164"/>
      <c r="CE53" s="168">
        <v>1</v>
      </c>
      <c r="CF53" s="168">
        <f t="shared" si="113"/>
        <v>210000</v>
      </c>
      <c r="CG53" s="164"/>
      <c r="CH53" s="164">
        <f t="shared" si="114"/>
        <v>48840</v>
      </c>
      <c r="CI53" s="164">
        <v>48840</v>
      </c>
      <c r="CJ53" s="164"/>
      <c r="CK53" s="164">
        <f t="shared" si="115"/>
        <v>0</v>
      </c>
      <c r="CL53" s="164">
        <f>CR53-CI53</f>
        <v>0</v>
      </c>
      <c r="CM53" s="164"/>
      <c r="CN53" s="164"/>
      <c r="CO53" s="164"/>
      <c r="CP53" s="164"/>
      <c r="CQ53" s="164">
        <f t="shared" si="116"/>
        <v>48840</v>
      </c>
      <c r="CR53" s="164">
        <v>48840</v>
      </c>
      <c r="CS53" s="164"/>
      <c r="CT53" s="164">
        <f t="shared" si="117"/>
        <v>0</v>
      </c>
      <c r="CU53" s="164"/>
      <c r="CV53" s="164"/>
      <c r="CW53" s="164">
        <f t="shared" si="118"/>
        <v>186527.88729000001</v>
      </c>
      <c r="CX53" s="164">
        <v>186527.88729000001</v>
      </c>
      <c r="CY53" s="164"/>
      <c r="CZ53" s="164">
        <f t="shared" si="119"/>
        <v>287140</v>
      </c>
      <c r="DA53" s="164">
        <v>287140</v>
      </c>
      <c r="DB53" s="164"/>
      <c r="DC53" s="164"/>
      <c r="DD53" s="164"/>
      <c r="DE53" s="164"/>
      <c r="DF53" s="164">
        <f t="shared" si="120"/>
        <v>-186527.88729000001</v>
      </c>
      <c r="DG53" s="164">
        <f>DJ53-CX53</f>
        <v>-186527.88729000001</v>
      </c>
      <c r="DH53" s="164"/>
      <c r="DI53" s="164">
        <f t="shared" si="121"/>
        <v>0</v>
      </c>
      <c r="DJ53" s="164">
        <v>0</v>
      </c>
      <c r="DK53" s="164"/>
      <c r="DL53" s="164">
        <f t="shared" si="122"/>
        <v>186527.88729000001</v>
      </c>
      <c r="DM53" s="164">
        <f>162011.19763+24516.68966</f>
        <v>186527.88729000001</v>
      </c>
      <c r="DN53" s="164"/>
      <c r="DO53" s="164">
        <f t="shared" si="123"/>
        <v>0</v>
      </c>
      <c r="DP53" s="164"/>
      <c r="DQ53" s="164"/>
      <c r="DR53" s="164">
        <f t="shared" si="124"/>
        <v>-186527.88729000001</v>
      </c>
      <c r="DS53" s="164">
        <f>DJ53-DM53-DP53</f>
        <v>-186527.88729000001</v>
      </c>
      <c r="DT53" s="164"/>
      <c r="DU53" s="164">
        <f t="shared" si="125"/>
        <v>281684.34000000003</v>
      </c>
      <c r="DV53" s="164">
        <v>281684.34000000003</v>
      </c>
      <c r="DW53" s="164"/>
      <c r="DX53" s="164">
        <f t="shared" si="126"/>
        <v>690541.68420000002</v>
      </c>
      <c r="DY53" s="164">
        <v>690541.68420000002</v>
      </c>
      <c r="DZ53" s="164"/>
      <c r="EA53" s="164"/>
      <c r="EB53" s="164"/>
      <c r="EC53" s="164"/>
      <c r="ED53" s="164">
        <f>EE53</f>
        <v>-281684.34000000003</v>
      </c>
      <c r="EE53" s="164">
        <f>EH53-DV53</f>
        <v>-281684.34000000003</v>
      </c>
      <c r="EF53" s="164"/>
      <c r="EG53" s="164">
        <f>EH53+EJ53</f>
        <v>0</v>
      </c>
      <c r="EH53" s="164">
        <v>0</v>
      </c>
      <c r="EI53" s="164"/>
      <c r="EJ53" s="164"/>
      <c r="EK53" s="164">
        <f t="shared" si="127"/>
        <v>0</v>
      </c>
      <c r="EL53" s="164"/>
      <c r="EM53" s="164"/>
      <c r="EN53" s="164"/>
      <c r="EO53" s="164">
        <f t="shared" si="128"/>
        <v>0</v>
      </c>
      <c r="EP53" s="164"/>
      <c r="EQ53" s="164"/>
      <c r="ER53" s="164"/>
      <c r="ES53" s="164">
        <f>ET53+EV53</f>
        <v>0</v>
      </c>
      <c r="ET53" s="164">
        <f>EH53</f>
        <v>0</v>
      </c>
      <c r="EU53" s="164"/>
      <c r="EV53" s="164"/>
      <c r="EW53" s="164">
        <f t="shared" si="129"/>
        <v>677421.3922</v>
      </c>
      <c r="EX53" s="164">
        <v>677421.3922</v>
      </c>
      <c r="EY53" s="164"/>
      <c r="EZ53" s="164">
        <f t="shared" si="144"/>
        <v>-677421.3922</v>
      </c>
      <c r="FA53" s="164">
        <f>FD53-EX53</f>
        <v>-677421.3922</v>
      </c>
      <c r="FB53" s="164"/>
      <c r="FC53" s="163">
        <f>FD53+FF53</f>
        <v>0</v>
      </c>
      <c r="FD53" s="163">
        <v>0</v>
      </c>
      <c r="FE53" s="163"/>
      <c r="FF53" s="163"/>
      <c r="FG53" s="163">
        <f t="shared" si="131"/>
        <v>0</v>
      </c>
      <c r="FH53" s="163"/>
      <c r="FI53" s="163"/>
      <c r="FJ53" s="163"/>
      <c r="FK53" s="163">
        <f t="shared" si="132"/>
        <v>0</v>
      </c>
      <c r="FL53" s="163"/>
      <c r="FM53" s="163"/>
      <c r="FN53" s="163"/>
      <c r="FO53" s="163">
        <f>FP53+FR53</f>
        <v>0</v>
      </c>
      <c r="FP53" s="163">
        <v>0</v>
      </c>
      <c r="FQ53" s="163"/>
      <c r="FR53" s="163"/>
      <c r="FS53" s="39">
        <f t="shared" si="57"/>
        <v>0</v>
      </c>
      <c r="FT53" s="485" t="e">
        <f t="shared" si="81"/>
        <v>#DIV/0!</v>
      </c>
      <c r="FU53" s="39">
        <v>0</v>
      </c>
      <c r="FV53" s="485" t="e">
        <f t="shared" si="82"/>
        <v>#DIV/0!</v>
      </c>
      <c r="FW53" s="38"/>
      <c r="FX53" s="660"/>
      <c r="FY53" s="39"/>
      <c r="FZ53" s="660"/>
      <c r="GA53" s="39">
        <f t="shared" si="83"/>
        <v>0</v>
      </c>
      <c r="GB53" s="485" t="e">
        <f t="shared" si="84"/>
        <v>#DIV/0!</v>
      </c>
      <c r="GC53" s="39">
        <v>0</v>
      </c>
      <c r="GD53" s="485" t="e">
        <f t="shared" si="85"/>
        <v>#DIV/0!</v>
      </c>
      <c r="GE53" s="82"/>
      <c r="GF53" s="498"/>
      <c r="GG53" s="82"/>
      <c r="GH53" s="498"/>
      <c r="GI53" s="90" t="e">
        <f>GK53+GM53+GO53</f>
        <v>#REF!</v>
      </c>
      <c r="GJ53" s="485" t="e">
        <f t="shared" si="86"/>
        <v>#REF!</v>
      </c>
      <c r="GK53" s="90" t="e">
        <f>GK308+#REF!</f>
        <v>#REF!</v>
      </c>
      <c r="GL53" s="485" t="e">
        <f t="shared" si="87"/>
        <v>#REF!</v>
      </c>
      <c r="GM53" s="90"/>
      <c r="GN53" s="485"/>
      <c r="GO53" s="90"/>
      <c r="GP53" s="485"/>
      <c r="GQ53" s="164"/>
      <c r="GR53" s="164"/>
      <c r="GS53" s="164"/>
      <c r="GT53" s="164"/>
      <c r="GU53" s="164">
        <f>GV53+GX53</f>
        <v>0</v>
      </c>
      <c r="GV53" s="164">
        <v>0</v>
      </c>
      <c r="GW53" s="164"/>
      <c r="GX53" s="164"/>
      <c r="GY53" s="164"/>
      <c r="GZ53" s="164"/>
      <c r="HA53" s="164"/>
      <c r="HB53" s="164"/>
      <c r="HC53" s="164"/>
      <c r="HD53" s="164"/>
      <c r="HE53" s="164"/>
      <c r="HF53" s="164"/>
      <c r="HG53" s="164">
        <f>HH53+HJ53</f>
        <v>0</v>
      </c>
      <c r="HH53" s="164">
        <v>0</v>
      </c>
      <c r="HI53" s="164"/>
      <c r="HJ53" s="164"/>
      <c r="HK53" s="164">
        <f>HL53+HN53</f>
        <v>0</v>
      </c>
      <c r="HL53" s="164">
        <v>0</v>
      </c>
      <c r="HM53" s="164"/>
      <c r="HN53" s="164"/>
      <c r="HO53" s="164">
        <f>HP53+HR53</f>
        <v>0</v>
      </c>
      <c r="HP53" s="164">
        <v>0</v>
      </c>
      <c r="HQ53" s="164"/>
      <c r="HR53" s="164"/>
      <c r="HS53" s="164">
        <f>HT53+HV53</f>
        <v>0</v>
      </c>
      <c r="HT53" s="164">
        <v>0</v>
      </c>
      <c r="HU53" s="164"/>
      <c r="HV53" s="164"/>
      <c r="HW53" s="164">
        <f>HX53+HZ53</f>
        <v>0</v>
      </c>
      <c r="HX53" s="164">
        <v>0</v>
      </c>
      <c r="HY53" s="164"/>
      <c r="HZ53" s="164"/>
      <c r="IA53" s="164">
        <f>IB53+ID53</f>
        <v>0</v>
      </c>
      <c r="IB53" s="164">
        <v>0</v>
      </c>
      <c r="IC53" s="164"/>
      <c r="ID53" s="164"/>
      <c r="IE53" s="169"/>
      <c r="IF53" s="170"/>
      <c r="IG53" s="170"/>
      <c r="IH53" s="170"/>
    </row>
    <row r="54" spans="2:242" s="171" customFormat="1" ht="31.5" hidden="1" customHeight="1" x14ac:dyDescent="0.25">
      <c r="B54" s="160"/>
      <c r="C54" s="161" t="s">
        <v>148</v>
      </c>
      <c r="D54" s="162" t="s">
        <v>149</v>
      </c>
      <c r="E54" s="163">
        <f t="shared" si="92"/>
        <v>6487.7979599999999</v>
      </c>
      <c r="F54" s="163">
        <v>6487.7979599999999</v>
      </c>
      <c r="G54" s="163"/>
      <c r="H54" s="163">
        <f t="shared" si="93"/>
        <v>0</v>
      </c>
      <c r="I54" s="163">
        <f>L54-F54</f>
        <v>0</v>
      </c>
      <c r="J54" s="163"/>
      <c r="K54" s="163">
        <f t="shared" si="94"/>
        <v>6487.7979599999999</v>
      </c>
      <c r="L54" s="163">
        <v>6487.7979599999999</v>
      </c>
      <c r="M54" s="163"/>
      <c r="N54" s="163">
        <f t="shared" si="95"/>
        <v>0</v>
      </c>
      <c r="O54" s="163">
        <f>R54-L54</f>
        <v>0</v>
      </c>
      <c r="P54" s="163"/>
      <c r="Q54" s="164">
        <f t="shared" si="96"/>
        <v>6487.7979599999999</v>
      </c>
      <c r="R54" s="164">
        <v>6487.7979599999999</v>
      </c>
      <c r="S54" s="164"/>
      <c r="T54" s="164">
        <f t="shared" si="97"/>
        <v>0</v>
      </c>
      <c r="U54" s="164"/>
      <c r="V54" s="164"/>
      <c r="W54" s="164">
        <f t="shared" si="98"/>
        <v>0</v>
      </c>
      <c r="X54" s="164">
        <f>AA54-U54</f>
        <v>0</v>
      </c>
      <c r="Y54" s="164"/>
      <c r="Z54" s="164">
        <f>AA54+AB54</f>
        <v>0</v>
      </c>
      <c r="AA54" s="164">
        <f>'[3]2017_с остатком на торги'!$AG$51</f>
        <v>0</v>
      </c>
      <c r="AB54" s="164"/>
      <c r="AC54" s="164">
        <f>AD54+AE54</f>
        <v>0</v>
      </c>
      <c r="AD54" s="164">
        <f>'[3]2017_с остатком на торги'!$AG$51</f>
        <v>0</v>
      </c>
      <c r="AE54" s="164"/>
      <c r="AF54" s="164">
        <f>AG54+AH54</f>
        <v>0</v>
      </c>
      <c r="AG54" s="164">
        <f>'[3]2017_с остатком на торги'!$AG$51</f>
        <v>0</v>
      </c>
      <c r="AH54" s="164"/>
      <c r="AI54" s="165">
        <f>AA54-AJ54</f>
        <v>0</v>
      </c>
      <c r="AJ54" s="164"/>
      <c r="AK54" s="165">
        <f t="shared" si="101"/>
        <v>0</v>
      </c>
      <c r="AL54" s="165">
        <f>AA54-AK54</f>
        <v>0</v>
      </c>
      <c r="AM54" s="746"/>
      <c r="AN54" s="174"/>
      <c r="AO54" s="166">
        <v>1</v>
      </c>
      <c r="AP54" s="174"/>
      <c r="AQ54" s="174"/>
      <c r="AR54" s="174"/>
      <c r="AS54" s="164">
        <f t="shared" si="102"/>
        <v>0</v>
      </c>
      <c r="AT54" s="164"/>
      <c r="AU54" s="164"/>
      <c r="AV54" s="164">
        <f t="shared" si="103"/>
        <v>0</v>
      </c>
      <c r="AW54" s="164">
        <f>AZ54-AT54</f>
        <v>0</v>
      </c>
      <c r="AX54" s="164"/>
      <c r="AY54" s="164">
        <f t="shared" si="104"/>
        <v>0</v>
      </c>
      <c r="AZ54" s="164"/>
      <c r="BA54" s="164"/>
      <c r="BB54" s="164">
        <f t="shared" si="105"/>
        <v>0</v>
      </c>
      <c r="BC54" s="164"/>
      <c r="BD54" s="164"/>
      <c r="BE54" s="164">
        <f t="shared" si="106"/>
        <v>0</v>
      </c>
      <c r="BF54" s="164">
        <f>BW54-BC54</f>
        <v>0</v>
      </c>
      <c r="BG54" s="164"/>
      <c r="BH54" s="164">
        <f t="shared" si="107"/>
        <v>0</v>
      </c>
      <c r="BI54" s="164"/>
      <c r="BJ54" s="164"/>
      <c r="BK54" s="167">
        <v>1</v>
      </c>
      <c r="BL54" s="168">
        <f t="shared" si="108"/>
        <v>0</v>
      </c>
      <c r="BM54" s="168"/>
      <c r="BN54" s="168"/>
      <c r="BO54" s="168"/>
      <c r="BP54" s="168"/>
      <c r="BQ54" s="168"/>
      <c r="BR54" s="168"/>
      <c r="BS54" s="168"/>
      <c r="BT54" s="168"/>
      <c r="BU54" s="168"/>
      <c r="BV54" s="164">
        <f t="shared" si="110"/>
        <v>0</v>
      </c>
      <c r="BW54" s="164"/>
      <c r="BX54" s="164"/>
      <c r="BY54" s="164">
        <f t="shared" si="111"/>
        <v>0</v>
      </c>
      <c r="BZ54" s="164">
        <f>CC54-BW54</f>
        <v>0</v>
      </c>
      <c r="CA54" s="164"/>
      <c r="CB54" s="164">
        <f t="shared" si="112"/>
        <v>0</v>
      </c>
      <c r="CC54" s="164"/>
      <c r="CD54" s="164"/>
      <c r="CE54" s="168">
        <v>1</v>
      </c>
      <c r="CF54" s="168">
        <f t="shared" si="113"/>
        <v>0</v>
      </c>
      <c r="CG54" s="164"/>
      <c r="CH54" s="164">
        <f t="shared" si="114"/>
        <v>0</v>
      </c>
      <c r="CI54" s="164"/>
      <c r="CJ54" s="164"/>
      <c r="CK54" s="164">
        <f t="shared" si="115"/>
        <v>0</v>
      </c>
      <c r="CL54" s="164">
        <f>CR54-CI54</f>
        <v>0</v>
      </c>
      <c r="CM54" s="164"/>
      <c r="CN54" s="164"/>
      <c r="CO54" s="164"/>
      <c r="CP54" s="164"/>
      <c r="CQ54" s="164">
        <f t="shared" si="116"/>
        <v>0</v>
      </c>
      <c r="CR54" s="164"/>
      <c r="CS54" s="164"/>
      <c r="CT54" s="164">
        <f t="shared" si="117"/>
        <v>0</v>
      </c>
      <c r="CU54" s="164"/>
      <c r="CV54" s="164"/>
      <c r="CW54" s="164">
        <f t="shared" si="118"/>
        <v>29085.1057</v>
      </c>
      <c r="CX54" s="164">
        <v>29085.1057</v>
      </c>
      <c r="CY54" s="164"/>
      <c r="CZ54" s="164">
        <f t="shared" si="119"/>
        <v>0</v>
      </c>
      <c r="DA54" s="164"/>
      <c r="DB54" s="164"/>
      <c r="DC54" s="164"/>
      <c r="DD54" s="164"/>
      <c r="DE54" s="164"/>
      <c r="DF54" s="164">
        <f t="shared" si="120"/>
        <v>-29085.1057</v>
      </c>
      <c r="DG54" s="164">
        <f>DJ54-CX54</f>
        <v>-29085.1057</v>
      </c>
      <c r="DH54" s="164"/>
      <c r="DI54" s="164">
        <f t="shared" si="121"/>
        <v>0</v>
      </c>
      <c r="DJ54" s="164">
        <v>0</v>
      </c>
      <c r="DK54" s="164"/>
      <c r="DL54" s="164">
        <f t="shared" si="122"/>
        <v>28754.125619999999</v>
      </c>
      <c r="DM54" s="164">
        <v>28754.125619999999</v>
      </c>
      <c r="DN54" s="164"/>
      <c r="DO54" s="164">
        <f t="shared" si="123"/>
        <v>330.98007999999999</v>
      </c>
      <c r="DP54" s="164">
        <v>330.98007999999999</v>
      </c>
      <c r="DQ54" s="164"/>
      <c r="DR54" s="164">
        <f t="shared" si="124"/>
        <v>-29085.1057</v>
      </c>
      <c r="DS54" s="164">
        <f>DJ54-DM54-DP54</f>
        <v>-29085.1057</v>
      </c>
      <c r="DT54" s="164"/>
      <c r="DU54" s="164">
        <f t="shared" si="125"/>
        <v>5455.66</v>
      </c>
      <c r="DV54" s="164">
        <v>5455.66</v>
      </c>
      <c r="DW54" s="164"/>
      <c r="DX54" s="164">
        <f t="shared" si="126"/>
        <v>0</v>
      </c>
      <c r="DY54" s="164"/>
      <c r="DZ54" s="164"/>
      <c r="EA54" s="164"/>
      <c r="EB54" s="164"/>
      <c r="EC54" s="164"/>
      <c r="ED54" s="164">
        <f>EE54</f>
        <v>-5455.66</v>
      </c>
      <c r="EE54" s="164">
        <f>EH54-DV54</f>
        <v>-5455.66</v>
      </c>
      <c r="EF54" s="164"/>
      <c r="EG54" s="164">
        <f>EH54+EJ54</f>
        <v>0</v>
      </c>
      <c r="EH54" s="164">
        <v>0</v>
      </c>
      <c r="EI54" s="164"/>
      <c r="EJ54" s="164"/>
      <c r="EK54" s="164">
        <f t="shared" si="127"/>
        <v>0</v>
      </c>
      <c r="EL54" s="164"/>
      <c r="EM54" s="164"/>
      <c r="EN54" s="164"/>
      <c r="EO54" s="164">
        <f t="shared" si="128"/>
        <v>0</v>
      </c>
      <c r="EP54" s="164"/>
      <c r="EQ54" s="164"/>
      <c r="ER54" s="164"/>
      <c r="ES54" s="164">
        <f>ET54+EV54</f>
        <v>0</v>
      </c>
      <c r="ET54" s="164">
        <f>EH54</f>
        <v>0</v>
      </c>
      <c r="EU54" s="164"/>
      <c r="EV54" s="164"/>
      <c r="EW54" s="164">
        <f t="shared" si="129"/>
        <v>13120.291999999999</v>
      </c>
      <c r="EX54" s="164">
        <v>13120.291999999999</v>
      </c>
      <c r="EY54" s="164"/>
      <c r="EZ54" s="164">
        <f t="shared" si="144"/>
        <v>-13120.291999999999</v>
      </c>
      <c r="FA54" s="164">
        <f>FD54-EX54</f>
        <v>-13120.291999999999</v>
      </c>
      <c r="FB54" s="164"/>
      <c r="FC54" s="163">
        <f>FD54+FF54</f>
        <v>0</v>
      </c>
      <c r="FD54" s="163">
        <v>0</v>
      </c>
      <c r="FE54" s="163"/>
      <c r="FF54" s="163"/>
      <c r="FG54" s="163">
        <f t="shared" si="131"/>
        <v>0</v>
      </c>
      <c r="FH54" s="163"/>
      <c r="FI54" s="163"/>
      <c r="FJ54" s="163"/>
      <c r="FK54" s="163">
        <f t="shared" si="132"/>
        <v>0</v>
      </c>
      <c r="FL54" s="163"/>
      <c r="FM54" s="163"/>
      <c r="FN54" s="163"/>
      <c r="FO54" s="163">
        <f>FP54+FR54</f>
        <v>0</v>
      </c>
      <c r="FP54" s="163">
        <v>0</v>
      </c>
      <c r="FQ54" s="163"/>
      <c r="FR54" s="163"/>
      <c r="FS54" s="39">
        <f t="shared" si="57"/>
        <v>0</v>
      </c>
      <c r="FT54" s="485" t="e">
        <f t="shared" si="81"/>
        <v>#DIV/0!</v>
      </c>
      <c r="FU54" s="39">
        <v>0</v>
      </c>
      <c r="FV54" s="485" t="e">
        <f t="shared" si="82"/>
        <v>#DIV/0!</v>
      </c>
      <c r="FW54" s="38"/>
      <c r="FX54" s="660"/>
      <c r="FY54" s="39"/>
      <c r="FZ54" s="660"/>
      <c r="GA54" s="39">
        <f t="shared" si="83"/>
        <v>0</v>
      </c>
      <c r="GB54" s="485" t="e">
        <f t="shared" si="84"/>
        <v>#DIV/0!</v>
      </c>
      <c r="GC54" s="39">
        <v>0</v>
      </c>
      <c r="GD54" s="485" t="e">
        <f t="shared" si="85"/>
        <v>#DIV/0!</v>
      </c>
      <c r="GE54" s="82"/>
      <c r="GF54" s="498"/>
      <c r="GG54" s="82"/>
      <c r="GH54" s="498"/>
      <c r="GI54" s="90" t="e">
        <f>GK54+GM54+GO54</f>
        <v>#REF!</v>
      </c>
      <c r="GJ54" s="485" t="e">
        <f t="shared" si="86"/>
        <v>#REF!</v>
      </c>
      <c r="GK54" s="90" t="e">
        <f>GK309+#REF!</f>
        <v>#REF!</v>
      </c>
      <c r="GL54" s="485" t="e">
        <f t="shared" si="87"/>
        <v>#REF!</v>
      </c>
      <c r="GM54" s="90"/>
      <c r="GN54" s="485"/>
      <c r="GO54" s="90"/>
      <c r="GP54" s="485"/>
      <c r="GQ54" s="164"/>
      <c r="GR54" s="164"/>
      <c r="GS54" s="164"/>
      <c r="GT54" s="164"/>
      <c r="GU54" s="164">
        <f>GV54+GX54</f>
        <v>0</v>
      </c>
      <c r="GV54" s="164">
        <v>0</v>
      </c>
      <c r="GW54" s="164"/>
      <c r="GX54" s="164"/>
      <c r="GY54" s="164"/>
      <c r="GZ54" s="164"/>
      <c r="HA54" s="164"/>
      <c r="HB54" s="164"/>
      <c r="HC54" s="164"/>
      <c r="HD54" s="164"/>
      <c r="HE54" s="164"/>
      <c r="HF54" s="164"/>
      <c r="HG54" s="164">
        <f>HH54+HJ54</f>
        <v>0</v>
      </c>
      <c r="HH54" s="164">
        <v>0</v>
      </c>
      <c r="HI54" s="164"/>
      <c r="HJ54" s="164"/>
      <c r="HK54" s="164">
        <f>HL54+HN54</f>
        <v>0</v>
      </c>
      <c r="HL54" s="164">
        <v>0</v>
      </c>
      <c r="HM54" s="164"/>
      <c r="HN54" s="164"/>
      <c r="HO54" s="164">
        <f>HP54+HR54</f>
        <v>0</v>
      </c>
      <c r="HP54" s="164">
        <v>0</v>
      </c>
      <c r="HQ54" s="164"/>
      <c r="HR54" s="164"/>
      <c r="HS54" s="164">
        <f>HT54+HV54</f>
        <v>0</v>
      </c>
      <c r="HT54" s="164">
        <v>0</v>
      </c>
      <c r="HU54" s="164"/>
      <c r="HV54" s="164"/>
      <c r="HW54" s="164">
        <f>HX54+HZ54</f>
        <v>0</v>
      </c>
      <c r="HX54" s="164">
        <v>0</v>
      </c>
      <c r="HY54" s="164"/>
      <c r="HZ54" s="164"/>
      <c r="IA54" s="164">
        <f>IB54+ID54</f>
        <v>0</v>
      </c>
      <c r="IB54" s="164">
        <v>0</v>
      </c>
      <c r="IC54" s="164"/>
      <c r="ID54" s="164"/>
      <c r="IE54" s="169"/>
      <c r="IF54" s="170"/>
      <c r="IG54" s="170"/>
      <c r="IH54" s="170"/>
    </row>
    <row r="55" spans="2:242" s="171" customFormat="1" ht="44.25" hidden="1" customHeight="1" x14ac:dyDescent="0.25">
      <c r="B55" s="160"/>
      <c r="C55" s="161" t="s">
        <v>161</v>
      </c>
      <c r="D55" s="162"/>
      <c r="E55" s="163"/>
      <c r="F55" s="163"/>
      <c r="G55" s="163"/>
      <c r="H55" s="163"/>
      <c r="I55" s="163"/>
      <c r="J55" s="163"/>
      <c r="K55" s="163"/>
      <c r="L55" s="163"/>
      <c r="M55" s="163"/>
      <c r="N55" s="163"/>
      <c r="O55" s="163"/>
      <c r="P55" s="163"/>
      <c r="Q55" s="164"/>
      <c r="R55" s="164"/>
      <c r="S55" s="164"/>
      <c r="T55" s="164"/>
      <c r="U55" s="164"/>
      <c r="V55" s="164"/>
      <c r="W55" s="164"/>
      <c r="X55" s="164"/>
      <c r="Y55" s="164"/>
      <c r="Z55" s="164"/>
      <c r="AA55" s="164"/>
      <c r="AB55" s="164"/>
      <c r="AC55" s="164"/>
      <c r="AD55" s="164"/>
      <c r="AE55" s="164"/>
      <c r="AF55" s="164"/>
      <c r="AG55" s="164"/>
      <c r="AH55" s="164"/>
      <c r="AI55" s="165"/>
      <c r="AJ55" s="164"/>
      <c r="AK55" s="165"/>
      <c r="AL55" s="165"/>
      <c r="AM55" s="175"/>
      <c r="AN55" s="174"/>
      <c r="AO55" s="166"/>
      <c r="AP55" s="174"/>
      <c r="AQ55" s="174"/>
      <c r="AR55" s="174"/>
      <c r="AS55" s="164"/>
      <c r="AT55" s="164"/>
      <c r="AU55" s="164"/>
      <c r="AV55" s="164"/>
      <c r="AW55" s="164"/>
      <c r="AX55" s="164"/>
      <c r="AY55" s="164"/>
      <c r="AZ55" s="164"/>
      <c r="BA55" s="164"/>
      <c r="BB55" s="164"/>
      <c r="BC55" s="164"/>
      <c r="BD55" s="164"/>
      <c r="BE55" s="164"/>
      <c r="BF55" s="164"/>
      <c r="BG55" s="164"/>
      <c r="BH55" s="164"/>
      <c r="BI55" s="164"/>
      <c r="BJ55" s="164"/>
      <c r="BK55" s="167"/>
      <c r="BL55" s="168"/>
      <c r="BM55" s="168"/>
      <c r="BN55" s="168"/>
      <c r="BO55" s="168"/>
      <c r="BP55" s="168"/>
      <c r="BQ55" s="168"/>
      <c r="BR55" s="168"/>
      <c r="BS55" s="168"/>
      <c r="BT55" s="168"/>
      <c r="BU55" s="168"/>
      <c r="BV55" s="164"/>
      <c r="BW55" s="164"/>
      <c r="BX55" s="164"/>
      <c r="BY55" s="164"/>
      <c r="BZ55" s="164"/>
      <c r="CA55" s="164"/>
      <c r="CB55" s="164"/>
      <c r="CC55" s="164"/>
      <c r="CD55" s="164"/>
      <c r="CE55" s="168"/>
      <c r="CF55" s="168"/>
      <c r="CG55" s="164"/>
      <c r="CH55" s="164"/>
      <c r="CI55" s="164"/>
      <c r="CJ55" s="164"/>
      <c r="CK55" s="164"/>
      <c r="CL55" s="164"/>
      <c r="CM55" s="164"/>
      <c r="CN55" s="164"/>
      <c r="CO55" s="164"/>
      <c r="CP55" s="164"/>
      <c r="CQ55" s="164"/>
      <c r="CR55" s="164"/>
      <c r="CS55" s="164"/>
      <c r="CT55" s="164"/>
      <c r="CU55" s="164"/>
      <c r="CV55" s="164"/>
      <c r="CW55" s="164">
        <f t="shared" si="118"/>
        <v>18450.450669999998</v>
      </c>
      <c r="CX55" s="164">
        <v>18450.450669999998</v>
      </c>
      <c r="CY55" s="164"/>
      <c r="CZ55" s="164"/>
      <c r="DA55" s="164"/>
      <c r="DB55" s="164"/>
      <c r="DC55" s="164"/>
      <c r="DD55" s="164"/>
      <c r="DE55" s="164"/>
      <c r="DF55" s="164">
        <f t="shared" si="120"/>
        <v>-18450.450669999998</v>
      </c>
      <c r="DG55" s="164">
        <f>DJ55-CX55</f>
        <v>-18450.450669999998</v>
      </c>
      <c r="DH55" s="164"/>
      <c r="DI55" s="164">
        <f t="shared" si="121"/>
        <v>0</v>
      </c>
      <c r="DJ55" s="164">
        <v>0</v>
      </c>
      <c r="DK55" s="164"/>
      <c r="DL55" s="164">
        <f t="shared" si="122"/>
        <v>0</v>
      </c>
      <c r="DM55" s="164"/>
      <c r="DN55" s="164"/>
      <c r="DO55" s="164">
        <f>DP55</f>
        <v>4415.4849999999997</v>
      </c>
      <c r="DP55" s="164">
        <v>4415.4849999999997</v>
      </c>
      <c r="DQ55" s="164"/>
      <c r="DR55" s="164">
        <f t="shared" si="124"/>
        <v>-4415.4849999999997</v>
      </c>
      <c r="DS55" s="164">
        <f>DJ55-DM55-DP55</f>
        <v>-4415.4849999999997</v>
      </c>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f>EH55</f>
        <v>0</v>
      </c>
      <c r="EU55" s="164"/>
      <c r="EV55" s="164"/>
      <c r="EW55" s="164"/>
      <c r="EX55" s="164"/>
      <c r="EY55" s="164"/>
      <c r="EZ55" s="164"/>
      <c r="FA55" s="164"/>
      <c r="FB55" s="164"/>
      <c r="FC55" s="163"/>
      <c r="FD55" s="163"/>
      <c r="FE55" s="163"/>
      <c r="FF55" s="163"/>
      <c r="FG55" s="163"/>
      <c r="FH55" s="163"/>
      <c r="FI55" s="163"/>
      <c r="FJ55" s="163"/>
      <c r="FK55" s="163"/>
      <c r="FL55" s="163"/>
      <c r="FM55" s="163"/>
      <c r="FN55" s="163"/>
      <c r="FO55" s="163"/>
      <c r="FP55" s="163"/>
      <c r="FQ55" s="163"/>
      <c r="FR55" s="163"/>
      <c r="FS55" s="39">
        <f t="shared" si="57"/>
        <v>0</v>
      </c>
      <c r="FT55" s="485" t="e">
        <f t="shared" si="81"/>
        <v>#DIV/0!</v>
      </c>
      <c r="FU55" s="39">
        <v>0</v>
      </c>
      <c r="FV55" s="485" t="e">
        <f t="shared" si="82"/>
        <v>#DIV/0!</v>
      </c>
      <c r="FW55" s="38"/>
      <c r="FX55" s="660"/>
      <c r="FY55" s="39"/>
      <c r="FZ55" s="660"/>
      <c r="GA55" s="39">
        <f t="shared" si="83"/>
        <v>0</v>
      </c>
      <c r="GB55" s="485" t="e">
        <f t="shared" si="84"/>
        <v>#DIV/0!</v>
      </c>
      <c r="GC55" s="39">
        <v>0</v>
      </c>
      <c r="GD55" s="485" t="e">
        <f t="shared" si="85"/>
        <v>#DIV/0!</v>
      </c>
      <c r="GE55" s="82"/>
      <c r="GF55" s="498"/>
      <c r="GG55" s="82"/>
      <c r="GH55" s="498"/>
      <c r="GI55" s="90" t="e">
        <f>GK55+GM55+GO55</f>
        <v>#REF!</v>
      </c>
      <c r="GJ55" s="485" t="e">
        <f t="shared" si="86"/>
        <v>#REF!</v>
      </c>
      <c r="GK55" s="90" t="e">
        <f>GK310+#REF!</f>
        <v>#REF!</v>
      </c>
      <c r="GL55" s="485" t="e">
        <f t="shared" si="87"/>
        <v>#REF!</v>
      </c>
      <c r="GM55" s="90"/>
      <c r="GN55" s="485"/>
      <c r="GO55" s="90"/>
      <c r="GP55" s="485"/>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c r="HX55" s="164"/>
      <c r="HY55" s="164"/>
      <c r="HZ55" s="164"/>
      <c r="IA55" s="164"/>
      <c r="IB55" s="164"/>
      <c r="IC55" s="164"/>
      <c r="ID55" s="164"/>
      <c r="IE55" s="169"/>
      <c r="IF55" s="170"/>
      <c r="IG55" s="170"/>
      <c r="IH55" s="170"/>
    </row>
    <row r="56" spans="2:242" s="171" customFormat="1" ht="60.75" hidden="1" customHeight="1" x14ac:dyDescent="0.25">
      <c r="B56" s="160"/>
      <c r="C56" s="161" t="s">
        <v>162</v>
      </c>
      <c r="D56" s="162"/>
      <c r="E56" s="163"/>
      <c r="F56" s="163"/>
      <c r="G56" s="163"/>
      <c r="H56" s="163"/>
      <c r="I56" s="163"/>
      <c r="J56" s="163"/>
      <c r="K56" s="163"/>
      <c r="L56" s="163"/>
      <c r="M56" s="163"/>
      <c r="N56" s="163"/>
      <c r="O56" s="163"/>
      <c r="P56" s="163"/>
      <c r="Q56" s="164"/>
      <c r="R56" s="164"/>
      <c r="S56" s="164"/>
      <c r="T56" s="164"/>
      <c r="U56" s="164"/>
      <c r="V56" s="164"/>
      <c r="W56" s="164"/>
      <c r="X56" s="164"/>
      <c r="Y56" s="164"/>
      <c r="Z56" s="164" t="e">
        <f t="shared" ref="Z56:Z68" si="145">AA56+AB56</f>
        <v>#REF!</v>
      </c>
      <c r="AA56" s="164" t="e">
        <f>'[3]2017_с остатком на торги'!$AG$52</f>
        <v>#REF!</v>
      </c>
      <c r="AB56" s="164"/>
      <c r="AC56" s="164"/>
      <c r="AD56" s="164">
        <v>0</v>
      </c>
      <c r="AE56" s="164"/>
      <c r="AF56" s="164" t="e">
        <f>AG56+AH56</f>
        <v>#REF!</v>
      </c>
      <c r="AG56" s="164" t="e">
        <f>'[3]2017_с остатком на торги'!$AG$52</f>
        <v>#REF!</v>
      </c>
      <c r="AH56" s="164"/>
      <c r="AI56" s="165"/>
      <c r="AJ56" s="164"/>
      <c r="AK56" s="165"/>
      <c r="AL56" s="165"/>
      <c r="AM56" s="175"/>
      <c r="AN56" s="174"/>
      <c r="AO56" s="166">
        <v>1</v>
      </c>
      <c r="AP56" s="174"/>
      <c r="AQ56" s="174"/>
      <c r="AR56" s="164" t="e">
        <f>AF56-AP56-AQ56</f>
        <v>#REF!</v>
      </c>
      <c r="AS56" s="164"/>
      <c r="AT56" s="164"/>
      <c r="AU56" s="164"/>
      <c r="AV56" s="164"/>
      <c r="AW56" s="164"/>
      <c r="AX56" s="164"/>
      <c r="AY56" s="164"/>
      <c r="AZ56" s="164"/>
      <c r="BA56" s="164"/>
      <c r="BB56" s="164"/>
      <c r="BC56" s="164"/>
      <c r="BD56" s="164"/>
      <c r="BE56" s="164"/>
      <c r="BF56" s="164"/>
      <c r="BG56" s="164"/>
      <c r="BH56" s="164"/>
      <c r="BI56" s="164"/>
      <c r="BJ56" s="164"/>
      <c r="BK56" s="167">
        <v>1</v>
      </c>
      <c r="BL56" s="168">
        <f t="shared" ref="BL56:BL68" si="146">AZ56</f>
        <v>0</v>
      </c>
      <c r="BM56" s="168"/>
      <c r="BN56" s="168"/>
      <c r="BO56" s="168"/>
      <c r="BP56" s="168"/>
      <c r="BQ56" s="168"/>
      <c r="BR56" s="168"/>
      <c r="BS56" s="168"/>
      <c r="BT56" s="168"/>
      <c r="BU56" s="168"/>
      <c r="BV56" s="164"/>
      <c r="BW56" s="164"/>
      <c r="BX56" s="164"/>
      <c r="BY56" s="164"/>
      <c r="BZ56" s="164"/>
      <c r="CA56" s="164"/>
      <c r="CB56" s="164"/>
      <c r="CC56" s="164"/>
      <c r="CD56" s="164"/>
      <c r="CE56" s="168">
        <v>1</v>
      </c>
      <c r="CF56" s="168">
        <f t="shared" ref="CF56:CF68" si="147">CB56</f>
        <v>0</v>
      </c>
      <c r="CG56" s="164"/>
      <c r="CH56" s="164"/>
      <c r="CI56" s="164"/>
      <c r="CJ56" s="164"/>
      <c r="CK56" s="164"/>
      <c r="CL56" s="164"/>
      <c r="CM56" s="164"/>
      <c r="CN56" s="164"/>
      <c r="CO56" s="164"/>
      <c r="CP56" s="164"/>
      <c r="CQ56" s="164"/>
      <c r="CR56" s="164"/>
      <c r="CS56" s="164"/>
      <c r="CT56" s="164"/>
      <c r="CU56" s="164"/>
      <c r="CV56" s="164"/>
      <c r="CW56" s="164">
        <f t="shared" si="118"/>
        <v>453.24599999999998</v>
      </c>
      <c r="CX56" s="164">
        <v>453.24599999999998</v>
      </c>
      <c r="CY56" s="164"/>
      <c r="CZ56" s="164"/>
      <c r="DA56" s="164"/>
      <c r="DB56" s="164"/>
      <c r="DC56" s="164"/>
      <c r="DD56" s="164"/>
      <c r="DE56" s="164"/>
      <c r="DF56" s="164">
        <f t="shared" si="120"/>
        <v>-453.24599999999998</v>
      </c>
      <c r="DG56" s="164">
        <f>DJ56-CX56</f>
        <v>-453.24599999999998</v>
      </c>
      <c r="DH56" s="164"/>
      <c r="DI56" s="164">
        <f t="shared" si="121"/>
        <v>0</v>
      </c>
      <c r="DJ56" s="164">
        <v>0</v>
      </c>
      <c r="DK56" s="164"/>
      <c r="DL56" s="164">
        <f t="shared" si="122"/>
        <v>0</v>
      </c>
      <c r="DM56" s="164"/>
      <c r="DN56" s="164"/>
      <c r="DO56" s="164">
        <f>DP56</f>
        <v>0</v>
      </c>
      <c r="DP56" s="164">
        <f>DJ56</f>
        <v>0</v>
      </c>
      <c r="DQ56" s="164"/>
      <c r="DR56" s="164">
        <f t="shared" si="124"/>
        <v>0</v>
      </c>
      <c r="DS56" s="164">
        <f>DJ56-DM56-DP56</f>
        <v>0</v>
      </c>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f>EH56</f>
        <v>0</v>
      </c>
      <c r="EU56" s="164"/>
      <c r="EV56" s="164"/>
      <c r="EW56" s="164"/>
      <c r="EX56" s="164"/>
      <c r="EY56" s="164"/>
      <c r="EZ56" s="164"/>
      <c r="FA56" s="164"/>
      <c r="FB56" s="164"/>
      <c r="FC56" s="163"/>
      <c r="FD56" s="163"/>
      <c r="FE56" s="163"/>
      <c r="FF56" s="163"/>
      <c r="FG56" s="163"/>
      <c r="FH56" s="163"/>
      <c r="FI56" s="163"/>
      <c r="FJ56" s="163"/>
      <c r="FK56" s="163"/>
      <c r="FL56" s="163"/>
      <c r="FM56" s="163"/>
      <c r="FN56" s="163"/>
      <c r="FO56" s="163"/>
      <c r="FP56" s="163"/>
      <c r="FQ56" s="163"/>
      <c r="FR56" s="163"/>
      <c r="FS56" s="39">
        <f t="shared" si="57"/>
        <v>0</v>
      </c>
      <c r="FT56" s="485" t="e">
        <f t="shared" si="81"/>
        <v>#DIV/0!</v>
      </c>
      <c r="FU56" s="39">
        <v>0</v>
      </c>
      <c r="FV56" s="485" t="e">
        <f t="shared" si="82"/>
        <v>#DIV/0!</v>
      </c>
      <c r="FW56" s="38"/>
      <c r="FX56" s="660"/>
      <c r="FY56" s="39"/>
      <c r="FZ56" s="660"/>
      <c r="GA56" s="39">
        <f t="shared" si="83"/>
        <v>0</v>
      </c>
      <c r="GB56" s="485" t="e">
        <f t="shared" si="84"/>
        <v>#DIV/0!</v>
      </c>
      <c r="GC56" s="39">
        <v>0</v>
      </c>
      <c r="GD56" s="485" t="e">
        <f t="shared" si="85"/>
        <v>#DIV/0!</v>
      </c>
      <c r="GE56" s="82"/>
      <c r="GF56" s="498"/>
      <c r="GG56" s="82"/>
      <c r="GH56" s="498"/>
      <c r="GI56" s="90" t="e">
        <f>GK56+GM56+GO56</f>
        <v>#REF!</v>
      </c>
      <c r="GJ56" s="485" t="e">
        <f t="shared" si="86"/>
        <v>#REF!</v>
      </c>
      <c r="GK56" s="90" t="e">
        <f>GK311+#REF!</f>
        <v>#REF!</v>
      </c>
      <c r="GL56" s="485" t="e">
        <f t="shared" si="87"/>
        <v>#REF!</v>
      </c>
      <c r="GM56" s="90"/>
      <c r="GN56" s="485"/>
      <c r="GO56" s="90"/>
      <c r="GP56" s="485"/>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c r="HX56" s="164"/>
      <c r="HY56" s="164"/>
      <c r="HZ56" s="164"/>
      <c r="IA56" s="164"/>
      <c r="IB56" s="164"/>
      <c r="IC56" s="164"/>
      <c r="ID56" s="164"/>
      <c r="IE56" s="169"/>
      <c r="IF56" s="170"/>
      <c r="IG56" s="170"/>
      <c r="IH56" s="170"/>
    </row>
    <row r="57" spans="2:242" s="127" customFormat="1" ht="61.5" customHeight="1" x14ac:dyDescent="0.25">
      <c r="B57" s="115"/>
      <c r="C57" s="116" t="s">
        <v>132</v>
      </c>
      <c r="D57" s="117"/>
      <c r="E57" s="118"/>
      <c r="F57" s="118"/>
      <c r="G57" s="118"/>
      <c r="H57" s="118"/>
      <c r="I57" s="118"/>
      <c r="J57" s="118"/>
      <c r="K57" s="118"/>
      <c r="L57" s="118"/>
      <c r="M57" s="118"/>
      <c r="N57" s="118"/>
      <c r="O57" s="118"/>
      <c r="P57" s="118"/>
      <c r="Q57" s="119"/>
      <c r="R57" s="119"/>
      <c r="S57" s="119"/>
      <c r="T57" s="119"/>
      <c r="U57" s="119"/>
      <c r="V57" s="119"/>
      <c r="W57" s="119"/>
      <c r="X57" s="119"/>
      <c r="Y57" s="119"/>
      <c r="Z57" s="119"/>
      <c r="AA57" s="119"/>
      <c r="AB57" s="119"/>
      <c r="AC57" s="119"/>
      <c r="AD57" s="119"/>
      <c r="AE57" s="119"/>
      <c r="AF57" s="119"/>
      <c r="AG57" s="119"/>
      <c r="AH57" s="119"/>
      <c r="AI57" s="120"/>
      <c r="AJ57" s="119"/>
      <c r="AK57" s="119"/>
      <c r="AL57" s="119"/>
      <c r="AM57" s="121"/>
      <c r="AN57" s="119"/>
      <c r="AO57" s="122"/>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23"/>
      <c r="BL57" s="124"/>
      <c r="BM57" s="124"/>
      <c r="BN57" s="124"/>
      <c r="BO57" s="124"/>
      <c r="BP57" s="124"/>
      <c r="BQ57" s="124"/>
      <c r="BR57" s="124"/>
      <c r="BS57" s="124"/>
      <c r="BT57" s="124"/>
      <c r="BU57" s="124"/>
      <c r="BV57" s="119"/>
      <c r="BW57" s="119"/>
      <c r="BX57" s="119"/>
      <c r="BY57" s="119"/>
      <c r="BZ57" s="119"/>
      <c r="CA57" s="119"/>
      <c r="CB57" s="119"/>
      <c r="CC57" s="119"/>
      <c r="CD57" s="119"/>
      <c r="CE57" s="124"/>
      <c r="CF57" s="124"/>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f t="shared" ref="EG57:EG77" si="148">EH57</f>
        <v>400000</v>
      </c>
      <c r="EH57" s="119">
        <v>400000</v>
      </c>
      <c r="EI57" s="119"/>
      <c r="EJ57" s="119"/>
      <c r="EK57" s="119">
        <f>EL57+EN57</f>
        <v>0</v>
      </c>
      <c r="EL57" s="119"/>
      <c r="EM57" s="119"/>
      <c r="EN57" s="119"/>
      <c r="EO57" s="119"/>
      <c r="EP57" s="119"/>
      <c r="EQ57" s="119"/>
      <c r="ER57" s="119"/>
      <c r="ES57" s="119">
        <f t="shared" ref="ES57:ES64" si="149">ET57</f>
        <v>0</v>
      </c>
      <c r="ET57" s="119"/>
      <c r="EU57" s="119"/>
      <c r="EV57" s="119"/>
      <c r="EW57" s="119"/>
      <c r="EX57" s="119"/>
      <c r="EY57" s="119"/>
      <c r="EZ57" s="119"/>
      <c r="FA57" s="119"/>
      <c r="FB57" s="119"/>
      <c r="FC57" s="118">
        <f t="shared" ref="FC57:FC68" si="150">FD57</f>
        <v>400000</v>
      </c>
      <c r="FD57" s="118">
        <v>400000</v>
      </c>
      <c r="FE57" s="118"/>
      <c r="FF57" s="118"/>
      <c r="FG57" s="118">
        <f>FH57+FJ57</f>
        <v>0</v>
      </c>
      <c r="FH57" s="118">
        <f>FP57-FD57</f>
        <v>0</v>
      </c>
      <c r="FI57" s="118"/>
      <c r="FJ57" s="118"/>
      <c r="FK57" s="118"/>
      <c r="FL57" s="118"/>
      <c r="FM57" s="118"/>
      <c r="FN57" s="118"/>
      <c r="FO57" s="118">
        <f t="shared" ref="FO57:FO77" si="151">FP57</f>
        <v>400000</v>
      </c>
      <c r="FP57" s="118">
        <v>400000</v>
      </c>
      <c r="FQ57" s="118"/>
      <c r="FR57" s="118"/>
      <c r="FS57" s="74">
        <f>FU57</f>
        <v>597004.95947999996</v>
      </c>
      <c r="FT57" s="487">
        <f t="shared" si="81"/>
        <v>1.4925123987</v>
      </c>
      <c r="FU57" s="74">
        <v>597004.95947999996</v>
      </c>
      <c r="FV57" s="487">
        <f t="shared" si="82"/>
        <v>1.4925123987</v>
      </c>
      <c r="FW57" s="73"/>
      <c r="FX57" s="662"/>
      <c r="FY57" s="74"/>
      <c r="FZ57" s="662"/>
      <c r="GA57" s="74">
        <f t="shared" si="83"/>
        <v>400000</v>
      </c>
      <c r="GB57" s="487">
        <f t="shared" si="84"/>
        <v>1</v>
      </c>
      <c r="GC57" s="74">
        <v>400000</v>
      </c>
      <c r="GD57" s="487">
        <f t="shared" si="85"/>
        <v>1</v>
      </c>
      <c r="GE57" s="73"/>
      <c r="GF57" s="513"/>
      <c r="GG57" s="73"/>
      <c r="GH57" s="513"/>
      <c r="GI57" s="74">
        <f>GK57</f>
        <v>400000</v>
      </c>
      <c r="GJ57" s="487">
        <f t="shared" si="86"/>
        <v>1</v>
      </c>
      <c r="GK57" s="74">
        <v>400000</v>
      </c>
      <c r="GL57" s="487">
        <f t="shared" si="87"/>
        <v>1</v>
      </c>
      <c r="GM57" s="74"/>
      <c r="GN57" s="487"/>
      <c r="GO57" s="74"/>
      <c r="GP57" s="487"/>
      <c r="GQ57" s="119"/>
      <c r="GR57" s="119"/>
      <c r="GS57" s="119"/>
      <c r="GT57" s="119"/>
      <c r="GU57" s="119">
        <f t="shared" ref="GU57:GU68" si="152">GV57</f>
        <v>300000</v>
      </c>
      <c r="GV57" s="119">
        <v>300000</v>
      </c>
      <c r="GW57" s="119"/>
      <c r="GX57" s="119"/>
      <c r="GY57" s="119"/>
      <c r="GZ57" s="119"/>
      <c r="HA57" s="119"/>
      <c r="HB57" s="119"/>
      <c r="HC57" s="119"/>
      <c r="HD57" s="119"/>
      <c r="HE57" s="119"/>
      <c r="HF57" s="119"/>
      <c r="HG57" s="119">
        <f>HH57+HJ57</f>
        <v>-146000</v>
      </c>
      <c r="HH57" s="119">
        <f>HP57-GV57</f>
        <v>-146000</v>
      </c>
      <c r="HI57" s="119"/>
      <c r="HJ57" s="119"/>
      <c r="HK57" s="119"/>
      <c r="HL57" s="119"/>
      <c r="HM57" s="119"/>
      <c r="HN57" s="119"/>
      <c r="HO57" s="119">
        <f t="shared" ref="HO57:HO68" si="153">HP57</f>
        <v>154000</v>
      </c>
      <c r="HP57" s="119">
        <v>154000</v>
      </c>
      <c r="HQ57" s="119"/>
      <c r="HR57" s="119"/>
      <c r="HS57" s="119">
        <f t="shared" ref="HS57:HS68" si="154">HT57</f>
        <v>0</v>
      </c>
      <c r="HT57" s="119">
        <v>0</v>
      </c>
      <c r="HU57" s="119"/>
      <c r="HV57" s="119"/>
      <c r="HW57" s="119"/>
      <c r="HX57" s="119"/>
      <c r="HY57" s="119"/>
      <c r="HZ57" s="119"/>
      <c r="IA57" s="119">
        <f t="shared" ref="IA57:IA68" si="155">IB57</f>
        <v>0</v>
      </c>
      <c r="IB57" s="119">
        <v>0</v>
      </c>
      <c r="IC57" s="119"/>
      <c r="ID57" s="119"/>
      <c r="IE57" s="125"/>
      <c r="IF57" s="126"/>
      <c r="IG57" s="126"/>
      <c r="IH57" s="126"/>
    </row>
    <row r="58" spans="2:242" s="536" customFormat="1" ht="73.5" hidden="1" customHeight="1" x14ac:dyDescent="0.25">
      <c r="B58" s="537"/>
      <c r="C58" s="740" t="s">
        <v>477</v>
      </c>
      <c r="D58" s="741"/>
      <c r="E58" s="538"/>
      <c r="F58" s="538"/>
      <c r="G58" s="538"/>
      <c r="H58" s="538"/>
      <c r="I58" s="538"/>
      <c r="J58" s="538"/>
      <c r="K58" s="538"/>
      <c r="L58" s="538"/>
      <c r="M58" s="538"/>
      <c r="N58" s="538"/>
      <c r="O58" s="538"/>
      <c r="P58" s="538"/>
      <c r="Q58" s="539"/>
      <c r="R58" s="539"/>
      <c r="S58" s="539"/>
      <c r="T58" s="539"/>
      <c r="U58" s="539"/>
      <c r="V58" s="539"/>
      <c r="W58" s="539"/>
      <c r="X58" s="539"/>
      <c r="Y58" s="539"/>
      <c r="Z58" s="539"/>
      <c r="AA58" s="539"/>
      <c r="AB58" s="539"/>
      <c r="AC58" s="539"/>
      <c r="AD58" s="539"/>
      <c r="AE58" s="539"/>
      <c r="AF58" s="539"/>
      <c r="AG58" s="539"/>
      <c r="AH58" s="539"/>
      <c r="AI58" s="540"/>
      <c r="AJ58" s="539"/>
      <c r="AK58" s="539"/>
      <c r="AL58" s="539"/>
      <c r="AM58" s="541"/>
      <c r="AN58" s="539"/>
      <c r="AO58" s="542"/>
      <c r="AP58" s="539"/>
      <c r="AQ58" s="539"/>
      <c r="AR58" s="539"/>
      <c r="AS58" s="539"/>
      <c r="AT58" s="539"/>
      <c r="AU58" s="539"/>
      <c r="AV58" s="539"/>
      <c r="AW58" s="539"/>
      <c r="AX58" s="539"/>
      <c r="AY58" s="539"/>
      <c r="AZ58" s="539"/>
      <c r="BA58" s="539"/>
      <c r="BB58" s="539"/>
      <c r="BC58" s="539"/>
      <c r="BD58" s="539"/>
      <c r="BE58" s="539"/>
      <c r="BF58" s="539"/>
      <c r="BG58" s="539"/>
      <c r="BH58" s="539"/>
      <c r="BI58" s="539"/>
      <c r="BJ58" s="539"/>
      <c r="BK58" s="543"/>
      <c r="BL58" s="544"/>
      <c r="BM58" s="544"/>
      <c r="BN58" s="544"/>
      <c r="BO58" s="544"/>
      <c r="BP58" s="544"/>
      <c r="BQ58" s="544"/>
      <c r="BR58" s="544"/>
      <c r="BS58" s="544"/>
      <c r="BT58" s="544"/>
      <c r="BU58" s="544"/>
      <c r="BV58" s="539"/>
      <c r="BW58" s="539"/>
      <c r="BX58" s="539"/>
      <c r="BY58" s="539"/>
      <c r="BZ58" s="539"/>
      <c r="CA58" s="539"/>
      <c r="CB58" s="539"/>
      <c r="CC58" s="539"/>
      <c r="CD58" s="539"/>
      <c r="CE58" s="544"/>
      <c r="CF58" s="544"/>
      <c r="CG58" s="539"/>
      <c r="CH58" s="539"/>
      <c r="CI58" s="539"/>
      <c r="CJ58" s="539"/>
      <c r="CK58" s="539"/>
      <c r="CL58" s="539"/>
      <c r="CM58" s="539"/>
      <c r="CN58" s="539"/>
      <c r="CO58" s="539"/>
      <c r="CP58" s="539"/>
      <c r="CQ58" s="539"/>
      <c r="CR58" s="539"/>
      <c r="CS58" s="539"/>
      <c r="CT58" s="539"/>
      <c r="CU58" s="539"/>
      <c r="CV58" s="539"/>
      <c r="CW58" s="539"/>
      <c r="CX58" s="539"/>
      <c r="CY58" s="539"/>
      <c r="CZ58" s="539"/>
      <c r="DA58" s="539"/>
      <c r="DB58" s="539"/>
      <c r="DC58" s="539"/>
      <c r="DD58" s="539"/>
      <c r="DE58" s="539"/>
      <c r="DF58" s="539"/>
      <c r="DG58" s="539"/>
      <c r="DH58" s="539"/>
      <c r="DI58" s="539"/>
      <c r="DJ58" s="539"/>
      <c r="DK58" s="539"/>
      <c r="DL58" s="539"/>
      <c r="DM58" s="539"/>
      <c r="DN58" s="539"/>
      <c r="DO58" s="539"/>
      <c r="DP58" s="539"/>
      <c r="DQ58" s="539"/>
      <c r="DR58" s="539"/>
      <c r="DS58" s="539"/>
      <c r="DT58" s="539"/>
      <c r="DU58" s="539"/>
      <c r="DV58" s="539"/>
      <c r="DW58" s="539"/>
      <c r="DX58" s="539"/>
      <c r="DY58" s="539"/>
      <c r="DZ58" s="539"/>
      <c r="EA58" s="539"/>
      <c r="EB58" s="539"/>
      <c r="EC58" s="539"/>
      <c r="ED58" s="539"/>
      <c r="EE58" s="539"/>
      <c r="EF58" s="539"/>
      <c r="EG58" s="539"/>
      <c r="EH58" s="539"/>
      <c r="EI58" s="539"/>
      <c r="EJ58" s="539"/>
      <c r="EK58" s="539"/>
      <c r="EL58" s="539"/>
      <c r="EM58" s="539"/>
      <c r="EN58" s="539"/>
      <c r="EO58" s="539"/>
      <c r="EP58" s="539"/>
      <c r="EQ58" s="539"/>
      <c r="ER58" s="539"/>
      <c r="ES58" s="539"/>
      <c r="ET58" s="539"/>
      <c r="EU58" s="539"/>
      <c r="EV58" s="539"/>
      <c r="EW58" s="539"/>
      <c r="EX58" s="539"/>
      <c r="EY58" s="539"/>
      <c r="EZ58" s="539"/>
      <c r="FA58" s="539"/>
      <c r="FB58" s="539"/>
      <c r="FC58" s="530">
        <f>FD58+FE58+FF58</f>
        <v>0</v>
      </c>
      <c r="FD58" s="530">
        <v>0</v>
      </c>
      <c r="FE58" s="530">
        <v>0</v>
      </c>
      <c r="FF58" s="530">
        <v>0</v>
      </c>
      <c r="FG58" s="538"/>
      <c r="FH58" s="538"/>
      <c r="FI58" s="538"/>
      <c r="FJ58" s="538"/>
      <c r="FK58" s="538"/>
      <c r="FL58" s="538"/>
      <c r="FM58" s="538"/>
      <c r="FN58" s="538"/>
      <c r="FO58" s="538"/>
      <c r="FP58" s="538"/>
      <c r="FQ58" s="538"/>
      <c r="FR58" s="538"/>
      <c r="FS58" s="530">
        <f>FU58</f>
        <v>197004.95947999999</v>
      </c>
      <c r="FT58" s="531">
        <v>0</v>
      </c>
      <c r="FU58" s="530">
        <v>197004.95947999999</v>
      </c>
      <c r="FV58" s="531">
        <v>0</v>
      </c>
      <c r="FW58" s="529"/>
      <c r="FX58" s="663"/>
      <c r="FY58" s="530"/>
      <c r="FZ58" s="663"/>
      <c r="GA58" s="530"/>
      <c r="GB58" s="531"/>
      <c r="GC58" s="530"/>
      <c r="GD58" s="531"/>
      <c r="GE58" s="529"/>
      <c r="GF58" s="532"/>
      <c r="GG58" s="529"/>
      <c r="GH58" s="532"/>
      <c r="GI58" s="630"/>
      <c r="GJ58" s="531"/>
      <c r="GK58" s="630"/>
      <c r="GL58" s="531"/>
      <c r="GM58" s="630"/>
      <c r="GN58" s="531"/>
      <c r="GO58" s="630"/>
      <c r="GP58" s="531"/>
      <c r="GQ58" s="539"/>
      <c r="GR58" s="539"/>
      <c r="GS58" s="539"/>
      <c r="GT58" s="539"/>
      <c r="GU58" s="539"/>
      <c r="GV58" s="539"/>
      <c r="GW58" s="539"/>
      <c r="GX58" s="539"/>
      <c r="GY58" s="539"/>
      <c r="GZ58" s="539"/>
      <c r="HA58" s="539"/>
      <c r="HB58" s="539"/>
      <c r="HC58" s="539"/>
      <c r="HD58" s="539"/>
      <c r="HE58" s="539"/>
      <c r="HF58" s="539"/>
      <c r="HG58" s="539"/>
      <c r="HH58" s="539"/>
      <c r="HI58" s="539"/>
      <c r="HJ58" s="539"/>
      <c r="HK58" s="539"/>
      <c r="HL58" s="539"/>
      <c r="HM58" s="539"/>
      <c r="HN58" s="539"/>
      <c r="HO58" s="539"/>
      <c r="HP58" s="539"/>
      <c r="HQ58" s="539"/>
      <c r="HR58" s="539"/>
      <c r="HS58" s="539"/>
      <c r="HT58" s="539"/>
      <c r="HU58" s="539"/>
      <c r="HV58" s="539"/>
      <c r="HW58" s="539"/>
      <c r="HX58" s="539"/>
      <c r="HY58" s="539"/>
      <c r="HZ58" s="539"/>
      <c r="IA58" s="539"/>
      <c r="IB58" s="539"/>
      <c r="IC58" s="539"/>
      <c r="ID58" s="539"/>
      <c r="IE58" s="545"/>
      <c r="IF58" s="546"/>
      <c r="IG58" s="546"/>
      <c r="IH58" s="546"/>
    </row>
    <row r="59" spans="2:242" s="202" customFormat="1" ht="122.25" customHeight="1" x14ac:dyDescent="0.25">
      <c r="B59" s="100" t="s">
        <v>163</v>
      </c>
      <c r="C59" s="176" t="s">
        <v>164</v>
      </c>
      <c r="D59" s="102" t="s">
        <v>165</v>
      </c>
      <c r="E59" s="103">
        <f t="shared" ref="E59:E68" si="156">F59+G59</f>
        <v>0</v>
      </c>
      <c r="F59" s="104">
        <f>SUM(F60:F64)</f>
        <v>0</v>
      </c>
      <c r="G59" s="104">
        <f>SUM(G60:G64)</f>
        <v>0</v>
      </c>
      <c r="H59" s="103">
        <f t="shared" ref="H59:H68" si="157">I59+J59</f>
        <v>0</v>
      </c>
      <c r="I59" s="104">
        <f>SUM(I60:I64)</f>
        <v>0</v>
      </c>
      <c r="J59" s="104"/>
      <c r="K59" s="103">
        <f t="shared" ref="K59:K68" si="158">L59+M59</f>
        <v>0</v>
      </c>
      <c r="L59" s="104">
        <f>SUM(L60:L64)</f>
        <v>0</v>
      </c>
      <c r="M59" s="104">
        <f>SUM(M60:M64)</f>
        <v>0</v>
      </c>
      <c r="N59" s="103">
        <f t="shared" ref="N59:N68" si="159">O59+P59</f>
        <v>0</v>
      </c>
      <c r="O59" s="104">
        <f>SUM(O60:O64)</f>
        <v>0</v>
      </c>
      <c r="P59" s="104"/>
      <c r="Q59" s="105">
        <f t="shared" ref="Q59:Q68" si="160">R59+S59</f>
        <v>0</v>
      </c>
      <c r="R59" s="106">
        <f>SUM(R60:R64)</f>
        <v>0</v>
      </c>
      <c r="S59" s="106">
        <f>SUM(S60:S64)</f>
        <v>0</v>
      </c>
      <c r="T59" s="105">
        <f t="shared" ref="T59:T68" si="161">U59+V59</f>
        <v>0</v>
      </c>
      <c r="U59" s="106">
        <f>SUM(U60:U64)</f>
        <v>0</v>
      </c>
      <c r="V59" s="106">
        <f>SUM(V60:V64)</f>
        <v>0</v>
      </c>
      <c r="W59" s="105">
        <f t="shared" ref="W59:W68" si="162">X59+Y59</f>
        <v>0</v>
      </c>
      <c r="X59" s="106">
        <f>SUM(X60:X64)</f>
        <v>0</v>
      </c>
      <c r="Y59" s="106"/>
      <c r="Z59" s="105">
        <f t="shared" si="145"/>
        <v>0</v>
      </c>
      <c r="AA59" s="106">
        <f t="shared" ref="AA59:AH59" si="163">SUM(AA60:AA64)</f>
        <v>0</v>
      </c>
      <c r="AB59" s="106">
        <f t="shared" si="163"/>
        <v>0</v>
      </c>
      <c r="AC59" s="106">
        <f t="shared" si="163"/>
        <v>0</v>
      </c>
      <c r="AD59" s="106">
        <f t="shared" si="163"/>
        <v>0</v>
      </c>
      <c r="AE59" s="106">
        <f t="shared" si="163"/>
        <v>0</v>
      </c>
      <c r="AF59" s="106">
        <f t="shared" si="163"/>
        <v>0</v>
      </c>
      <c r="AG59" s="106">
        <f t="shared" si="163"/>
        <v>0</v>
      </c>
      <c r="AH59" s="106">
        <f t="shared" si="163"/>
        <v>0</v>
      </c>
      <c r="AI59" s="106">
        <f t="shared" ref="AI59:AI68" si="164">AA59-AJ59</f>
        <v>0</v>
      </c>
      <c r="AJ59" s="106">
        <f>SUM(AJ60:AJ64)</f>
        <v>0</v>
      </c>
      <c r="AK59" s="106">
        <f t="shared" ref="AK59:AL68" si="165">Z59-AJ59</f>
        <v>0</v>
      </c>
      <c r="AL59" s="106">
        <f t="shared" si="165"/>
        <v>0</v>
      </c>
      <c r="AM59" s="746" t="s">
        <v>166</v>
      </c>
      <c r="AN59" s="108" t="s">
        <v>166</v>
      </c>
      <c r="AO59" s="109">
        <v>1</v>
      </c>
      <c r="AP59" s="108"/>
      <c r="AQ59" s="108"/>
      <c r="AR59" s="108"/>
      <c r="AS59" s="105">
        <f t="shared" ref="AS59:AS68" si="166">AT59+AU59</f>
        <v>500</v>
      </c>
      <c r="AT59" s="106">
        <f>SUM(AT60:AT64)</f>
        <v>500</v>
      </c>
      <c r="AU59" s="106">
        <f>SUM(AU60:AU64)</f>
        <v>0</v>
      </c>
      <c r="AV59" s="105">
        <f t="shared" ref="AV59:AV68" si="167">AW59+AX59</f>
        <v>0</v>
      </c>
      <c r="AW59" s="106">
        <f>SUM(AW60:AW64)</f>
        <v>0</v>
      </c>
      <c r="AX59" s="106"/>
      <c r="AY59" s="105">
        <f t="shared" ref="AY59:AY68" si="168">AZ59+BA59</f>
        <v>500</v>
      </c>
      <c r="AZ59" s="106">
        <f>SUM(AZ60:AZ64)</f>
        <v>500</v>
      </c>
      <c r="BA59" s="106">
        <f>SUM(BA60:BA64)</f>
        <v>0</v>
      </c>
      <c r="BB59" s="105">
        <f t="shared" ref="BB59:BB68" si="169">BC59+BD59</f>
        <v>0</v>
      </c>
      <c r="BC59" s="106">
        <f>SUM(BC60:BC64)</f>
        <v>0</v>
      </c>
      <c r="BD59" s="106">
        <f>SUM(BD60:BD64)</f>
        <v>0</v>
      </c>
      <c r="BE59" s="105">
        <f t="shared" ref="BE59:BE68" si="170">BF59+BG59</f>
        <v>0</v>
      </c>
      <c r="BF59" s="106">
        <f>SUM(BF60:BF64)</f>
        <v>0</v>
      </c>
      <c r="BG59" s="106"/>
      <c r="BH59" s="105">
        <f t="shared" ref="BH59:BH68" si="171">BI59+BJ59</f>
        <v>0</v>
      </c>
      <c r="BI59" s="106">
        <f>SUM(BI60:BI64)</f>
        <v>0</v>
      </c>
      <c r="BJ59" s="106">
        <f>SUM(BJ60:BJ64)</f>
        <v>0</v>
      </c>
      <c r="BK59" s="110">
        <v>1</v>
      </c>
      <c r="BL59" s="106">
        <f t="shared" si="146"/>
        <v>500</v>
      </c>
      <c r="BM59" s="106"/>
      <c r="BN59" s="106"/>
      <c r="BO59" s="106"/>
      <c r="BP59" s="106"/>
      <c r="BQ59" s="106"/>
      <c r="BR59" s="106"/>
      <c r="BS59" s="106">
        <f>BS60+BS64</f>
        <v>500</v>
      </c>
      <c r="BT59" s="106">
        <f>BT60+BT64</f>
        <v>500</v>
      </c>
      <c r="BU59" s="106">
        <f>BU60+BU64</f>
        <v>0</v>
      </c>
      <c r="BV59" s="105">
        <f t="shared" ref="BV59:BV68" si="172">BW59+BX59</f>
        <v>0</v>
      </c>
      <c r="BW59" s="106">
        <f>SUM(BW60:BW64)</f>
        <v>0</v>
      </c>
      <c r="BX59" s="106">
        <f>SUM(BX60:BX64)</f>
        <v>0</v>
      </c>
      <c r="BY59" s="105">
        <f t="shared" ref="BY59:BY68" si="173">BZ59+CA59</f>
        <v>0</v>
      </c>
      <c r="BZ59" s="106">
        <f>SUM(BZ60:BZ64)</f>
        <v>0</v>
      </c>
      <c r="CA59" s="106"/>
      <c r="CB59" s="105">
        <f t="shared" ref="CB59:CB68" si="174">CC59+CD59</f>
        <v>0</v>
      </c>
      <c r="CC59" s="106">
        <f>SUM(CC60:CC64)</f>
        <v>0</v>
      </c>
      <c r="CD59" s="106">
        <f>SUM(CD60:CD64)</f>
        <v>0</v>
      </c>
      <c r="CE59" s="106">
        <v>1</v>
      </c>
      <c r="CF59" s="106">
        <f t="shared" si="147"/>
        <v>0</v>
      </c>
      <c r="CG59" s="111"/>
      <c r="CH59" s="105">
        <f t="shared" ref="CH59:CH68" si="175">CI59+CJ59</f>
        <v>0</v>
      </c>
      <c r="CI59" s="106">
        <f>SUM(CI60:CI64)</f>
        <v>0</v>
      </c>
      <c r="CJ59" s="106">
        <f>SUM(CJ60:CJ64)</f>
        <v>0</v>
      </c>
      <c r="CK59" s="105">
        <f t="shared" ref="CK59:CK68" si="176">CL59+CM59</f>
        <v>0</v>
      </c>
      <c r="CL59" s="106">
        <f>SUM(CL60:CL64)</f>
        <v>0</v>
      </c>
      <c r="CM59" s="106"/>
      <c r="CN59" s="106"/>
      <c r="CO59" s="106"/>
      <c r="CP59" s="106"/>
      <c r="CQ59" s="105">
        <f t="shared" ref="CQ59:CQ68" si="177">CR59+CS59</f>
        <v>0</v>
      </c>
      <c r="CR59" s="106">
        <f>SUM(CR60:CR64)</f>
        <v>0</v>
      </c>
      <c r="CS59" s="106">
        <f>SUM(CS60:CS64)</f>
        <v>0</v>
      </c>
      <c r="CT59" s="105">
        <f t="shared" ref="CT59:CT68" si="178">CU59+CV59</f>
        <v>0</v>
      </c>
      <c r="CU59" s="106"/>
      <c r="CV59" s="106"/>
      <c r="CW59" s="105">
        <f t="shared" si="118"/>
        <v>0</v>
      </c>
      <c r="CX59" s="106">
        <f>SUM(CX60:CX64)</f>
        <v>0</v>
      </c>
      <c r="CY59" s="106"/>
      <c r="CZ59" s="105">
        <f t="shared" ref="CZ59:CZ72" si="179">DA59+DB59</f>
        <v>0</v>
      </c>
      <c r="DA59" s="106">
        <f>SUM(DA60:DA64)</f>
        <v>0</v>
      </c>
      <c r="DB59" s="106">
        <f>SUM(DB60:DB64)</f>
        <v>0</v>
      </c>
      <c r="DC59" s="106"/>
      <c r="DD59" s="106"/>
      <c r="DE59" s="106"/>
      <c r="DF59" s="105">
        <f t="shared" si="120"/>
        <v>0</v>
      </c>
      <c r="DG59" s="106">
        <f>SUM(DG60:DG64)</f>
        <v>0</v>
      </c>
      <c r="DH59" s="106">
        <f>SUM(DH60:DH64)</f>
        <v>0</v>
      </c>
      <c r="DI59" s="105">
        <f t="shared" si="121"/>
        <v>0</v>
      </c>
      <c r="DJ59" s="106">
        <f>SUM(DJ60:DJ64)</f>
        <v>0</v>
      </c>
      <c r="DK59" s="106">
        <f>SUM(DK60:DK64)</f>
        <v>0</v>
      </c>
      <c r="DL59" s="105">
        <f t="shared" si="122"/>
        <v>0</v>
      </c>
      <c r="DM59" s="106">
        <f>SUM(DM60:DM64)</f>
        <v>0</v>
      </c>
      <c r="DN59" s="106">
        <f>SUM(DN60:DN64)</f>
        <v>0</v>
      </c>
      <c r="DO59" s="105">
        <f t="shared" ref="DO59:DO74" si="180">DP59+DQ59</f>
        <v>0</v>
      </c>
      <c r="DP59" s="106">
        <f>SUM(DP60:DP64)</f>
        <v>0</v>
      </c>
      <c r="DQ59" s="106">
        <f>SUM(DQ60:DQ64)</f>
        <v>0</v>
      </c>
      <c r="DR59" s="105">
        <f t="shared" si="124"/>
        <v>0</v>
      </c>
      <c r="DS59" s="106">
        <f>SUM(DS60:DS64)</f>
        <v>0</v>
      </c>
      <c r="DT59" s="106">
        <f>SUM(DT60:DT64)</f>
        <v>0</v>
      </c>
      <c r="DU59" s="105">
        <f t="shared" ref="DU59:DU70" si="181">DV59+DW59</f>
        <v>0</v>
      </c>
      <c r="DV59" s="106">
        <f>SUM(DV60:DV64)</f>
        <v>0</v>
      </c>
      <c r="DW59" s="106"/>
      <c r="DX59" s="105">
        <f t="shared" ref="DX59:DX68" si="182">DY59+DZ59</f>
        <v>0</v>
      </c>
      <c r="DY59" s="106">
        <f>SUM(DY60:DY64)</f>
        <v>0</v>
      </c>
      <c r="DZ59" s="106">
        <f>SUM(DZ60:DZ64)</f>
        <v>0</v>
      </c>
      <c r="EA59" s="106"/>
      <c r="EB59" s="106"/>
      <c r="EC59" s="106"/>
      <c r="ED59" s="106">
        <f>EE59</f>
        <v>0</v>
      </c>
      <c r="EE59" s="106">
        <f>EE60</f>
        <v>0</v>
      </c>
      <c r="EF59" s="106"/>
      <c r="EG59" s="106">
        <f t="shared" si="148"/>
        <v>559401.12247000006</v>
      </c>
      <c r="EH59" s="106">
        <f>EH60+EH61</f>
        <v>559401.12247000006</v>
      </c>
      <c r="EI59" s="106"/>
      <c r="EJ59" s="106"/>
      <c r="EK59" s="106">
        <f>EL59</f>
        <v>0</v>
      </c>
      <c r="EL59" s="106">
        <f>EL60+EL61</f>
        <v>0</v>
      </c>
      <c r="EM59" s="106">
        <f>SUM(EM60:EM64)</f>
        <v>0</v>
      </c>
      <c r="EN59" s="106">
        <f>SUM(EN60:EN64)</f>
        <v>0</v>
      </c>
      <c r="EO59" s="105">
        <f t="shared" ref="EO59:EO68" si="183">EP59+ER59</f>
        <v>0</v>
      </c>
      <c r="EP59" s="106">
        <f>SUM(EP60:EP64)</f>
        <v>0</v>
      </c>
      <c r="EQ59" s="106">
        <f>SUM(EQ60:EQ64)</f>
        <v>0</v>
      </c>
      <c r="ER59" s="106">
        <f>SUM(ER60:ER64)</f>
        <v>0</v>
      </c>
      <c r="ES59" s="106">
        <f t="shared" si="149"/>
        <v>0</v>
      </c>
      <c r="ET59" s="106">
        <f>ET60+ET61</f>
        <v>0</v>
      </c>
      <c r="EU59" s="106"/>
      <c r="EV59" s="106"/>
      <c r="EW59" s="105">
        <f t="shared" ref="EW59:EW70" si="184">EX59+EY59</f>
        <v>0</v>
      </c>
      <c r="EX59" s="106">
        <f>SUM(EX60:EX64)</f>
        <v>0</v>
      </c>
      <c r="EY59" s="106">
        <f>SUM(EY60:EY64)</f>
        <v>0</v>
      </c>
      <c r="EZ59" s="106">
        <f>FA59</f>
        <v>0</v>
      </c>
      <c r="FA59" s="106">
        <f>FA60</f>
        <v>0</v>
      </c>
      <c r="FB59" s="106"/>
      <c r="FC59" s="104">
        <f t="shared" si="150"/>
        <v>581975.01903999993</v>
      </c>
      <c r="FD59" s="104">
        <f>FD60+FD61</f>
        <v>581975.01903999993</v>
      </c>
      <c r="FE59" s="104"/>
      <c r="FF59" s="104"/>
      <c r="FG59" s="104">
        <f>FH59</f>
        <v>32729.145359999995</v>
      </c>
      <c r="FH59" s="104">
        <f>FH60+FH61</f>
        <v>32729.145359999995</v>
      </c>
      <c r="FI59" s="104"/>
      <c r="FJ59" s="104">
        <f>SUM(FJ60:FJ64)</f>
        <v>0</v>
      </c>
      <c r="FK59" s="103">
        <f t="shared" ref="FK59:FK68" si="185">FL59+FN59</f>
        <v>0</v>
      </c>
      <c r="FL59" s="104">
        <f>SUM(FL60:FL64)</f>
        <v>0</v>
      </c>
      <c r="FM59" s="104">
        <f>SUM(FM60:FM64)</f>
        <v>0</v>
      </c>
      <c r="FN59" s="104">
        <f>SUM(FN60:FN64)</f>
        <v>0</v>
      </c>
      <c r="FO59" s="104">
        <f t="shared" si="151"/>
        <v>614704.16439999989</v>
      </c>
      <c r="FP59" s="104">
        <f>FP60+FP61</f>
        <v>614704.16439999989</v>
      </c>
      <c r="FQ59" s="104"/>
      <c r="FR59" s="104"/>
      <c r="FS59" s="629">
        <f>FU59</f>
        <v>302868.58202000003</v>
      </c>
      <c r="FT59" s="595">
        <f t="shared" si="81"/>
        <v>0.52041509018651444</v>
      </c>
      <c r="FU59" s="104">
        <f>FU60+FU61</f>
        <v>302868.58202000003</v>
      </c>
      <c r="FV59" s="595">
        <f t="shared" si="82"/>
        <v>0.52041509018651444</v>
      </c>
      <c r="FW59" s="522"/>
      <c r="FX59" s="666"/>
      <c r="FY59" s="104"/>
      <c r="FZ59" s="666"/>
      <c r="GA59" s="104">
        <f t="shared" si="83"/>
        <v>263883.94147999998</v>
      </c>
      <c r="GB59" s="595">
        <f t="shared" si="84"/>
        <v>0.45342829648477212</v>
      </c>
      <c r="GC59" s="104">
        <f>GC60+GC61</f>
        <v>263883.94147999998</v>
      </c>
      <c r="GD59" s="595">
        <f t="shared" si="85"/>
        <v>0.45342829648477212</v>
      </c>
      <c r="GE59" s="522"/>
      <c r="GF59" s="514"/>
      <c r="GG59" s="522"/>
      <c r="GH59" s="514"/>
      <c r="GI59" s="629">
        <f>GK59</f>
        <v>569667.01982000005</v>
      </c>
      <c r="GJ59" s="595">
        <f t="shared" si="86"/>
        <v>0.97885132726091473</v>
      </c>
      <c r="GK59" s="629">
        <f>GK60+GK61</f>
        <v>569667.01982000005</v>
      </c>
      <c r="GL59" s="595">
        <f t="shared" si="87"/>
        <v>0.97885132726091473</v>
      </c>
      <c r="GM59" s="629"/>
      <c r="GN59" s="595"/>
      <c r="GO59" s="629"/>
      <c r="GP59" s="595"/>
      <c r="GQ59" s="106"/>
      <c r="GR59" s="106"/>
      <c r="GS59" s="106"/>
      <c r="GT59" s="106"/>
      <c r="GU59" s="106">
        <f t="shared" si="152"/>
        <v>534617.42950000009</v>
      </c>
      <c r="GV59" s="106">
        <f>GV60+GV61</f>
        <v>534617.42950000009</v>
      </c>
      <c r="GW59" s="106"/>
      <c r="GX59" s="106"/>
      <c r="GY59" s="106"/>
      <c r="GZ59" s="106"/>
      <c r="HA59" s="106"/>
      <c r="HB59" s="106"/>
      <c r="HC59" s="106"/>
      <c r="HD59" s="106"/>
      <c r="HE59" s="106"/>
      <c r="HF59" s="106"/>
      <c r="HG59" s="106">
        <f>HH59</f>
        <v>0</v>
      </c>
      <c r="HH59" s="106">
        <f>HH60+HH61</f>
        <v>0</v>
      </c>
      <c r="HI59" s="106"/>
      <c r="HJ59" s="106"/>
      <c r="HK59" s="106">
        <f>HL59</f>
        <v>0</v>
      </c>
      <c r="HL59" s="106">
        <f>HL60</f>
        <v>0</v>
      </c>
      <c r="HM59" s="106"/>
      <c r="HN59" s="106"/>
      <c r="HO59" s="106">
        <f t="shared" si="153"/>
        <v>534617.42950000009</v>
      </c>
      <c r="HP59" s="106">
        <f>HP60+HP61</f>
        <v>534617.42950000009</v>
      </c>
      <c r="HQ59" s="106"/>
      <c r="HR59" s="106"/>
      <c r="HS59" s="106">
        <f t="shared" si="154"/>
        <v>559617.42950000009</v>
      </c>
      <c r="HT59" s="106">
        <f>HT60+HT61</f>
        <v>559617.42950000009</v>
      </c>
      <c r="HU59" s="106"/>
      <c r="HV59" s="106"/>
      <c r="HW59" s="106">
        <f>HX59</f>
        <v>328970</v>
      </c>
      <c r="HX59" s="106">
        <f>HX60</f>
        <v>328970</v>
      </c>
      <c r="HY59" s="106"/>
      <c r="HZ59" s="106"/>
      <c r="IA59" s="106">
        <f t="shared" si="155"/>
        <v>888587.42950000009</v>
      </c>
      <c r="IB59" s="106">
        <f>IB60+IB61</f>
        <v>888587.42950000009</v>
      </c>
      <c r="IC59" s="106"/>
      <c r="ID59" s="106"/>
      <c r="IE59" s="112" t="s">
        <v>167</v>
      </c>
      <c r="IF59" s="173"/>
      <c r="IG59" s="173"/>
      <c r="IH59" s="173"/>
    </row>
    <row r="60" spans="2:242" s="127" customFormat="1" ht="46.5" customHeight="1" x14ac:dyDescent="0.25">
      <c r="B60" s="115"/>
      <c r="C60" s="116" t="s">
        <v>132</v>
      </c>
      <c r="D60" s="117"/>
      <c r="E60" s="118"/>
      <c r="F60" s="118"/>
      <c r="G60" s="118"/>
      <c r="H60" s="118"/>
      <c r="I60" s="118"/>
      <c r="J60" s="118"/>
      <c r="K60" s="118"/>
      <c r="L60" s="118"/>
      <c r="M60" s="118"/>
      <c r="N60" s="118"/>
      <c r="O60" s="118"/>
      <c r="P60" s="118"/>
      <c r="Q60" s="119"/>
      <c r="R60" s="119"/>
      <c r="S60" s="119"/>
      <c r="T60" s="119"/>
      <c r="U60" s="119"/>
      <c r="V60" s="119"/>
      <c r="W60" s="119"/>
      <c r="X60" s="119"/>
      <c r="Y60" s="119"/>
      <c r="Z60" s="119"/>
      <c r="AA60" s="119"/>
      <c r="AB60" s="119"/>
      <c r="AC60" s="119"/>
      <c r="AD60" s="119"/>
      <c r="AE60" s="119"/>
      <c r="AF60" s="119"/>
      <c r="AG60" s="119"/>
      <c r="AH60" s="119"/>
      <c r="AI60" s="120"/>
      <c r="AJ60" s="119"/>
      <c r="AK60" s="119"/>
      <c r="AL60" s="119"/>
      <c r="AM60" s="746"/>
      <c r="AN60" s="119"/>
      <c r="AO60" s="122"/>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23"/>
      <c r="BL60" s="124"/>
      <c r="BM60" s="124"/>
      <c r="BN60" s="124"/>
      <c r="BO60" s="124"/>
      <c r="BP60" s="124"/>
      <c r="BQ60" s="124"/>
      <c r="BR60" s="124"/>
      <c r="BS60" s="124"/>
      <c r="BT60" s="124"/>
      <c r="BU60" s="124"/>
      <c r="BV60" s="119"/>
      <c r="BW60" s="119"/>
      <c r="BX60" s="119"/>
      <c r="BY60" s="119"/>
      <c r="BZ60" s="119"/>
      <c r="CA60" s="119"/>
      <c r="CB60" s="119"/>
      <c r="CC60" s="119"/>
      <c r="CD60" s="119"/>
      <c r="CE60" s="124"/>
      <c r="CF60" s="124"/>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f t="shared" si="148"/>
        <v>234000</v>
      </c>
      <c r="EH60" s="119">
        <v>234000</v>
      </c>
      <c r="EI60" s="119"/>
      <c r="EJ60" s="119"/>
      <c r="EK60" s="119">
        <f t="shared" ref="EK60:EK68" si="186">EL60+EN60</f>
        <v>0</v>
      </c>
      <c r="EL60" s="119"/>
      <c r="EM60" s="119"/>
      <c r="EN60" s="119"/>
      <c r="EO60" s="119"/>
      <c r="EP60" s="119"/>
      <c r="EQ60" s="119"/>
      <c r="ER60" s="119"/>
      <c r="ES60" s="119">
        <f t="shared" si="149"/>
        <v>0</v>
      </c>
      <c r="ET60" s="119">
        <v>0</v>
      </c>
      <c r="EU60" s="119"/>
      <c r="EV60" s="119"/>
      <c r="EW60" s="119"/>
      <c r="EX60" s="119"/>
      <c r="EY60" s="119"/>
      <c r="EZ60" s="119"/>
      <c r="FA60" s="119"/>
      <c r="FB60" s="119"/>
      <c r="FC60" s="118">
        <f t="shared" si="150"/>
        <v>234000</v>
      </c>
      <c r="FD60" s="118">
        <v>234000</v>
      </c>
      <c r="FE60" s="118"/>
      <c r="FF60" s="118"/>
      <c r="FG60" s="118">
        <f t="shared" ref="FG60:FG68" si="187">FH60+FJ60</f>
        <v>0</v>
      </c>
      <c r="FH60" s="118">
        <f>FP60-FD60</f>
        <v>0</v>
      </c>
      <c r="FI60" s="118"/>
      <c r="FJ60" s="118"/>
      <c r="FK60" s="118"/>
      <c r="FL60" s="118"/>
      <c r="FM60" s="118"/>
      <c r="FN60" s="118"/>
      <c r="FO60" s="118">
        <f t="shared" si="151"/>
        <v>234000</v>
      </c>
      <c r="FP60" s="118">
        <v>234000</v>
      </c>
      <c r="FQ60" s="118"/>
      <c r="FR60" s="118"/>
      <c r="FS60" s="74">
        <f>FU60</f>
        <v>203958.22487000001</v>
      </c>
      <c r="FT60" s="487">
        <f t="shared" si="81"/>
        <v>0.8716163455982906</v>
      </c>
      <c r="FU60" s="74">
        <v>203958.22487000001</v>
      </c>
      <c r="FV60" s="487">
        <f t="shared" si="82"/>
        <v>0.8716163455982906</v>
      </c>
      <c r="FW60" s="73"/>
      <c r="FX60" s="662"/>
      <c r="FY60" s="74"/>
      <c r="FZ60" s="662"/>
      <c r="GA60" s="74">
        <f t="shared" si="83"/>
        <v>185057.54008000001</v>
      </c>
      <c r="GB60" s="487">
        <f t="shared" si="84"/>
        <v>0.7908441883760684</v>
      </c>
      <c r="GC60" s="74">
        <v>185057.54008000001</v>
      </c>
      <c r="GD60" s="487">
        <f t="shared" si="85"/>
        <v>0.7908441883760684</v>
      </c>
      <c r="GE60" s="73"/>
      <c r="GF60" s="513"/>
      <c r="GG60" s="73"/>
      <c r="GH60" s="513"/>
      <c r="GI60" s="74">
        <f>GK60</f>
        <v>234000</v>
      </c>
      <c r="GJ60" s="487">
        <f t="shared" si="86"/>
        <v>1</v>
      </c>
      <c r="GK60" s="74">
        <v>234000</v>
      </c>
      <c r="GL60" s="487">
        <f t="shared" si="87"/>
        <v>1</v>
      </c>
      <c r="GM60" s="74"/>
      <c r="GN60" s="487"/>
      <c r="GO60" s="74"/>
      <c r="GP60" s="487"/>
      <c r="GQ60" s="119"/>
      <c r="GR60" s="119"/>
      <c r="GS60" s="119"/>
      <c r="GT60" s="119"/>
      <c r="GU60" s="119">
        <f t="shared" si="152"/>
        <v>217000</v>
      </c>
      <c r="GV60" s="119">
        <v>217000</v>
      </c>
      <c r="GW60" s="119"/>
      <c r="GX60" s="119"/>
      <c r="GY60" s="119"/>
      <c r="GZ60" s="119"/>
      <c r="HA60" s="119"/>
      <c r="HB60" s="119"/>
      <c r="HC60" s="119"/>
      <c r="HD60" s="119"/>
      <c r="HE60" s="119"/>
      <c r="HF60" s="119"/>
      <c r="HG60" s="119">
        <f>HH60+HJ60</f>
        <v>0</v>
      </c>
      <c r="HH60" s="119">
        <v>0</v>
      </c>
      <c r="HI60" s="119"/>
      <c r="HJ60" s="119"/>
      <c r="HK60" s="119"/>
      <c r="HL60" s="119"/>
      <c r="HM60" s="119"/>
      <c r="HN60" s="119"/>
      <c r="HO60" s="119">
        <f t="shared" si="153"/>
        <v>217000</v>
      </c>
      <c r="HP60" s="119">
        <v>217000</v>
      </c>
      <c r="HQ60" s="119"/>
      <c r="HR60" s="119"/>
      <c r="HS60" s="119">
        <f t="shared" si="154"/>
        <v>0</v>
      </c>
      <c r="HT60" s="119">
        <v>0</v>
      </c>
      <c r="HU60" s="119"/>
      <c r="HV60" s="119"/>
      <c r="HW60" s="119">
        <f>HX60</f>
        <v>328970</v>
      </c>
      <c r="HX60" s="119">
        <f>IB60-HT60</f>
        <v>328970</v>
      </c>
      <c r="HY60" s="119"/>
      <c r="HZ60" s="119"/>
      <c r="IA60" s="119">
        <f t="shared" si="155"/>
        <v>328970</v>
      </c>
      <c r="IB60" s="119">
        <v>328970</v>
      </c>
      <c r="IC60" s="119"/>
      <c r="ID60" s="119"/>
      <c r="IE60" s="125"/>
      <c r="IF60" s="126"/>
      <c r="IG60" s="126"/>
      <c r="IH60" s="126"/>
    </row>
    <row r="61" spans="2:242" s="184" customFormat="1" ht="46.5" customHeight="1" x14ac:dyDescent="0.25">
      <c r="B61" s="178"/>
      <c r="C61" s="101" t="s">
        <v>131</v>
      </c>
      <c r="D61" s="179"/>
      <c r="E61" s="180"/>
      <c r="F61" s="180"/>
      <c r="G61" s="180"/>
      <c r="H61" s="180"/>
      <c r="I61" s="180"/>
      <c r="J61" s="180"/>
      <c r="K61" s="180"/>
      <c r="L61" s="180"/>
      <c r="M61" s="180"/>
      <c r="N61" s="180"/>
      <c r="O61" s="180"/>
      <c r="P61" s="180"/>
      <c r="Q61" s="181"/>
      <c r="R61" s="181"/>
      <c r="S61" s="181"/>
      <c r="T61" s="181"/>
      <c r="U61" s="181"/>
      <c r="V61" s="181"/>
      <c r="W61" s="181"/>
      <c r="X61" s="181"/>
      <c r="Y61" s="181"/>
      <c r="Z61" s="181"/>
      <c r="AA61" s="181"/>
      <c r="AB61" s="181"/>
      <c r="AC61" s="181"/>
      <c r="AD61" s="181"/>
      <c r="AE61" s="181"/>
      <c r="AF61" s="181"/>
      <c r="AG61" s="181"/>
      <c r="AH61" s="181"/>
      <c r="AI61" s="182"/>
      <c r="AJ61" s="181"/>
      <c r="AK61" s="181"/>
      <c r="AL61" s="181"/>
      <c r="AM61" s="746"/>
      <c r="AN61" s="181"/>
      <c r="AO61" s="109"/>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10"/>
      <c r="BL61" s="106"/>
      <c r="BM61" s="106"/>
      <c r="BN61" s="106"/>
      <c r="BO61" s="106"/>
      <c r="BP61" s="106"/>
      <c r="BQ61" s="106"/>
      <c r="BR61" s="106"/>
      <c r="BS61" s="106"/>
      <c r="BT61" s="106"/>
      <c r="BU61" s="106"/>
      <c r="BV61" s="181"/>
      <c r="BW61" s="181"/>
      <c r="BX61" s="181"/>
      <c r="BY61" s="181"/>
      <c r="BZ61" s="181"/>
      <c r="CA61" s="181"/>
      <c r="CB61" s="181"/>
      <c r="CC61" s="181"/>
      <c r="CD61" s="181"/>
      <c r="CE61" s="106"/>
      <c r="CF61" s="106"/>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f t="shared" si="148"/>
        <v>325401.12247</v>
      </c>
      <c r="EH61" s="181">
        <f>EH62+EH63+EH64</f>
        <v>325401.12247</v>
      </c>
      <c r="EI61" s="181"/>
      <c r="EJ61" s="181"/>
      <c r="EK61" s="181">
        <f>EL61</f>
        <v>0</v>
      </c>
      <c r="EL61" s="181">
        <f>SUM(EL62:EL64)</f>
        <v>0</v>
      </c>
      <c r="EM61" s="181"/>
      <c r="EN61" s="181"/>
      <c r="EO61" s="181"/>
      <c r="EP61" s="181"/>
      <c r="EQ61" s="181"/>
      <c r="ER61" s="181"/>
      <c r="ES61" s="181">
        <f t="shared" si="149"/>
        <v>0</v>
      </c>
      <c r="ET61" s="181">
        <f>SUM(ET62:ET64)</f>
        <v>0</v>
      </c>
      <c r="EU61" s="181"/>
      <c r="EV61" s="181"/>
      <c r="EW61" s="181"/>
      <c r="EX61" s="181"/>
      <c r="EY61" s="181"/>
      <c r="EZ61" s="181"/>
      <c r="FA61" s="181"/>
      <c r="FB61" s="181"/>
      <c r="FC61" s="180">
        <f t="shared" si="150"/>
        <v>347975.01903999998</v>
      </c>
      <c r="FD61" s="180">
        <f>SUM(FD62:FD64)</f>
        <v>347975.01903999998</v>
      </c>
      <c r="FE61" s="180"/>
      <c r="FF61" s="180"/>
      <c r="FG61" s="180">
        <f>FH61</f>
        <v>32729.145359999995</v>
      </c>
      <c r="FH61" s="104">
        <f>SUM(FH62:FH64)</f>
        <v>32729.145359999995</v>
      </c>
      <c r="FI61" s="180"/>
      <c r="FJ61" s="180"/>
      <c r="FK61" s="180"/>
      <c r="FL61" s="180"/>
      <c r="FM61" s="180"/>
      <c r="FN61" s="180"/>
      <c r="FO61" s="180">
        <f t="shared" si="151"/>
        <v>380704.16439999995</v>
      </c>
      <c r="FP61" s="180">
        <f>FP62+FP63+FP64</f>
        <v>380704.16439999995</v>
      </c>
      <c r="FQ61" s="180"/>
      <c r="FR61" s="180"/>
      <c r="FS61" s="629">
        <f t="shared" si="57"/>
        <v>98910.357150000011</v>
      </c>
      <c r="FT61" s="595">
        <f t="shared" si="81"/>
        <v>0.28424556861258538</v>
      </c>
      <c r="FU61" s="180">
        <f>SUM(FU62:FU64)</f>
        <v>98910.357150000011</v>
      </c>
      <c r="FV61" s="595">
        <f t="shared" si="82"/>
        <v>0.28424556861258538</v>
      </c>
      <c r="FW61" s="522"/>
      <c r="FX61" s="666"/>
      <c r="FY61" s="180"/>
      <c r="FZ61" s="666"/>
      <c r="GA61" s="180">
        <f t="shared" si="83"/>
        <v>78826.401399999988</v>
      </c>
      <c r="GB61" s="595">
        <f t="shared" si="84"/>
        <v>0.2265289089356694</v>
      </c>
      <c r="GC61" s="180">
        <f>SUM(GC62:GC64)</f>
        <v>78826.401399999988</v>
      </c>
      <c r="GD61" s="595">
        <f t="shared" si="85"/>
        <v>0.2265289089356694</v>
      </c>
      <c r="GE61" s="522"/>
      <c r="GF61" s="514"/>
      <c r="GG61" s="522"/>
      <c r="GH61" s="514"/>
      <c r="GI61" s="629">
        <f t="shared" ref="GI61:GI66" si="188">GK61+GM61+GO61</f>
        <v>335667.01981999999</v>
      </c>
      <c r="GJ61" s="595">
        <f t="shared" si="86"/>
        <v>0.96462964711100374</v>
      </c>
      <c r="GK61" s="629">
        <f>SUM(GK62:GK64)</f>
        <v>335667.01981999999</v>
      </c>
      <c r="GL61" s="595">
        <f t="shared" si="87"/>
        <v>0.96462964711100374</v>
      </c>
      <c r="GM61" s="629"/>
      <c r="GN61" s="595"/>
      <c r="GO61" s="629"/>
      <c r="GP61" s="595"/>
      <c r="GQ61" s="181"/>
      <c r="GR61" s="181"/>
      <c r="GS61" s="181"/>
      <c r="GT61" s="181"/>
      <c r="GU61" s="181">
        <f t="shared" si="152"/>
        <v>317617.42950000003</v>
      </c>
      <c r="GV61" s="181">
        <f>GV62+GV63+GV64</f>
        <v>317617.42950000003</v>
      </c>
      <c r="GW61" s="181"/>
      <c r="GX61" s="181"/>
      <c r="GY61" s="181"/>
      <c r="GZ61" s="181"/>
      <c r="HA61" s="181"/>
      <c r="HB61" s="181"/>
      <c r="HC61" s="181"/>
      <c r="HD61" s="181"/>
      <c r="HE61" s="181"/>
      <c r="HF61" s="181"/>
      <c r="HG61" s="181">
        <f t="shared" ref="HG61:HG67" si="189">HH61</f>
        <v>0</v>
      </c>
      <c r="HH61" s="181">
        <v>0</v>
      </c>
      <c r="HI61" s="181"/>
      <c r="HJ61" s="181"/>
      <c r="HK61" s="181"/>
      <c r="HL61" s="181"/>
      <c r="HM61" s="181"/>
      <c r="HN61" s="181"/>
      <c r="HO61" s="181">
        <f t="shared" si="153"/>
        <v>317617.42950000003</v>
      </c>
      <c r="HP61" s="181">
        <f>HP62+HP63+HP64</f>
        <v>317617.42950000003</v>
      </c>
      <c r="HQ61" s="181"/>
      <c r="HR61" s="181"/>
      <c r="HS61" s="181">
        <f t="shared" si="154"/>
        <v>559617.42950000009</v>
      </c>
      <c r="HT61" s="181">
        <f>SUM(HT62:HT64)</f>
        <v>559617.42950000009</v>
      </c>
      <c r="HU61" s="181"/>
      <c r="HV61" s="181"/>
      <c r="HW61" s="181"/>
      <c r="HX61" s="181"/>
      <c r="HY61" s="181"/>
      <c r="HZ61" s="181"/>
      <c r="IA61" s="181">
        <f t="shared" si="155"/>
        <v>559617.42950000009</v>
      </c>
      <c r="IB61" s="181">
        <f>SUM(IB62:IB64)</f>
        <v>559617.42950000009</v>
      </c>
      <c r="IC61" s="181"/>
      <c r="ID61" s="181"/>
      <c r="IE61" s="169"/>
      <c r="IF61" s="183"/>
      <c r="IG61" s="183"/>
      <c r="IH61" s="183"/>
    </row>
    <row r="62" spans="2:242" s="171" customFormat="1" ht="47.25" hidden="1" customHeight="1" x14ac:dyDescent="0.25">
      <c r="B62" s="160"/>
      <c r="C62" s="161" t="s">
        <v>146</v>
      </c>
      <c r="D62" s="162"/>
      <c r="E62" s="163"/>
      <c r="F62" s="163"/>
      <c r="G62" s="163"/>
      <c r="H62" s="163"/>
      <c r="I62" s="163"/>
      <c r="J62" s="163"/>
      <c r="K62" s="163"/>
      <c r="L62" s="163"/>
      <c r="M62" s="163"/>
      <c r="N62" s="163"/>
      <c r="O62" s="163"/>
      <c r="P62" s="163"/>
      <c r="Q62" s="164"/>
      <c r="R62" s="164"/>
      <c r="S62" s="164"/>
      <c r="T62" s="164"/>
      <c r="U62" s="164"/>
      <c r="V62" s="164"/>
      <c r="W62" s="164"/>
      <c r="X62" s="164"/>
      <c r="Y62" s="164"/>
      <c r="Z62" s="164"/>
      <c r="AA62" s="164"/>
      <c r="AB62" s="164"/>
      <c r="AC62" s="164"/>
      <c r="AD62" s="164"/>
      <c r="AE62" s="164"/>
      <c r="AF62" s="164"/>
      <c r="AG62" s="164"/>
      <c r="AH62" s="164"/>
      <c r="AI62" s="165"/>
      <c r="AJ62" s="164"/>
      <c r="AK62" s="164"/>
      <c r="AL62" s="164"/>
      <c r="AM62" s="746"/>
      <c r="AN62" s="164"/>
      <c r="AO62" s="166"/>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7"/>
      <c r="BL62" s="168"/>
      <c r="BM62" s="168"/>
      <c r="BN62" s="168"/>
      <c r="BO62" s="168"/>
      <c r="BP62" s="168"/>
      <c r="BQ62" s="168"/>
      <c r="BR62" s="168"/>
      <c r="BS62" s="168"/>
      <c r="BT62" s="168"/>
      <c r="BU62" s="168"/>
      <c r="BV62" s="164"/>
      <c r="BW62" s="164"/>
      <c r="BX62" s="164"/>
      <c r="BY62" s="164"/>
      <c r="BZ62" s="164"/>
      <c r="CA62" s="164"/>
      <c r="CB62" s="164"/>
      <c r="CC62" s="164"/>
      <c r="CD62" s="164"/>
      <c r="CE62" s="168"/>
      <c r="CF62" s="168"/>
      <c r="CG62" s="164"/>
      <c r="CH62" s="164"/>
      <c r="CI62" s="164"/>
      <c r="CJ62" s="164"/>
      <c r="CK62" s="164"/>
      <c r="CL62" s="164"/>
      <c r="CM62" s="164"/>
      <c r="CN62" s="164"/>
      <c r="CO62" s="164"/>
      <c r="CP62" s="164"/>
      <c r="CQ62" s="164"/>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3">
        <f t="shared" si="148"/>
        <v>223493.84052999999</v>
      </c>
      <c r="EH62" s="164">
        <v>223493.84052999999</v>
      </c>
      <c r="EI62" s="164"/>
      <c r="EJ62" s="164"/>
      <c r="EK62" s="164">
        <f>EL62</f>
        <v>0</v>
      </c>
      <c r="EL62" s="164"/>
      <c r="EM62" s="164"/>
      <c r="EN62" s="164"/>
      <c r="EO62" s="164"/>
      <c r="EP62" s="164"/>
      <c r="EQ62" s="164"/>
      <c r="ER62" s="164"/>
      <c r="ES62" s="164">
        <f t="shared" si="149"/>
        <v>0</v>
      </c>
      <c r="ET62" s="164"/>
      <c r="EU62" s="164"/>
      <c r="EV62" s="164"/>
      <c r="EW62" s="164"/>
      <c r="EX62" s="164"/>
      <c r="EY62" s="164"/>
      <c r="EZ62" s="164"/>
      <c r="FA62" s="164"/>
      <c r="FB62" s="164"/>
      <c r="FC62" s="163">
        <f t="shared" si="150"/>
        <v>223493.84052999999</v>
      </c>
      <c r="FD62" s="163">
        <v>223493.84052999999</v>
      </c>
      <c r="FE62" s="163"/>
      <c r="FF62" s="163"/>
      <c r="FG62" s="163">
        <f>FH62</f>
        <v>0</v>
      </c>
      <c r="FH62" s="163">
        <f>FP62-FD62</f>
        <v>0</v>
      </c>
      <c r="FI62" s="163"/>
      <c r="FJ62" s="163"/>
      <c r="FK62" s="163"/>
      <c r="FL62" s="163"/>
      <c r="FM62" s="163"/>
      <c r="FN62" s="163"/>
      <c r="FO62" s="163">
        <f t="shared" si="151"/>
        <v>223493.84052999999</v>
      </c>
      <c r="FP62" s="163">
        <v>223493.84052999999</v>
      </c>
      <c r="FQ62" s="163"/>
      <c r="FR62" s="163"/>
      <c r="FS62" s="90">
        <f t="shared" si="57"/>
        <v>20083.955750000001</v>
      </c>
      <c r="FT62" s="518">
        <f t="shared" si="81"/>
        <v>8.9863576116336386E-2</v>
      </c>
      <c r="FU62" s="90">
        <v>20083.955750000001</v>
      </c>
      <c r="FV62" s="518">
        <f t="shared" si="82"/>
        <v>8.9863576116336386E-2</v>
      </c>
      <c r="FW62" s="87"/>
      <c r="FX62" s="665"/>
      <c r="FY62" s="90"/>
      <c r="FZ62" s="665"/>
      <c r="GA62" s="90">
        <f t="shared" si="83"/>
        <v>0</v>
      </c>
      <c r="GB62" s="518">
        <f t="shared" si="84"/>
        <v>0</v>
      </c>
      <c r="GC62" s="90">
        <v>0</v>
      </c>
      <c r="GD62" s="518">
        <f t="shared" si="85"/>
        <v>0</v>
      </c>
      <c r="GE62" s="87"/>
      <c r="GF62" s="515"/>
      <c r="GG62" s="87"/>
      <c r="GH62" s="515"/>
      <c r="GI62" s="90">
        <f t="shared" si="188"/>
        <v>223493.84052999999</v>
      </c>
      <c r="GJ62" s="518">
        <f t="shared" si="86"/>
        <v>1</v>
      </c>
      <c r="GK62" s="90">
        <v>223493.84052999999</v>
      </c>
      <c r="GL62" s="518">
        <f t="shared" si="87"/>
        <v>1</v>
      </c>
      <c r="GM62" s="90"/>
      <c r="GN62" s="518"/>
      <c r="GO62" s="90"/>
      <c r="GP62" s="518"/>
      <c r="GQ62" s="164"/>
      <c r="GR62" s="164"/>
      <c r="GS62" s="164"/>
      <c r="GT62" s="164"/>
      <c r="GU62" s="164">
        <f t="shared" si="152"/>
        <v>124391.30744</v>
      </c>
      <c r="GV62" s="164">
        <v>124391.30744</v>
      </c>
      <c r="GW62" s="164"/>
      <c r="GX62" s="164"/>
      <c r="GY62" s="164"/>
      <c r="GZ62" s="164"/>
      <c r="HA62" s="164"/>
      <c r="HB62" s="164"/>
      <c r="HC62" s="164"/>
      <c r="HD62" s="164"/>
      <c r="HE62" s="164"/>
      <c r="HF62" s="164"/>
      <c r="HG62" s="164">
        <f t="shared" si="189"/>
        <v>0</v>
      </c>
      <c r="HH62" s="164">
        <f>HP62-GV62</f>
        <v>0</v>
      </c>
      <c r="HI62" s="164"/>
      <c r="HJ62" s="164"/>
      <c r="HK62" s="164"/>
      <c r="HL62" s="164"/>
      <c r="HM62" s="164"/>
      <c r="HN62" s="164"/>
      <c r="HO62" s="163">
        <f t="shared" si="153"/>
        <v>124391.30744</v>
      </c>
      <c r="HP62" s="164">
        <v>124391.30744</v>
      </c>
      <c r="HQ62" s="164"/>
      <c r="HR62" s="164"/>
      <c r="HS62" s="164">
        <f t="shared" si="154"/>
        <v>556789.27624000004</v>
      </c>
      <c r="HT62" s="164">
        <v>556789.27624000004</v>
      </c>
      <c r="HU62" s="164"/>
      <c r="HV62" s="164"/>
      <c r="HW62" s="164"/>
      <c r="HX62" s="164"/>
      <c r="HY62" s="164"/>
      <c r="HZ62" s="164"/>
      <c r="IA62" s="164">
        <f t="shared" si="155"/>
        <v>556789.27624000004</v>
      </c>
      <c r="IB62" s="164">
        <f>HT62</f>
        <v>556789.27624000004</v>
      </c>
      <c r="IC62" s="164"/>
      <c r="ID62" s="164"/>
      <c r="IE62" s="185"/>
      <c r="IF62" s="170"/>
      <c r="IG62" s="170"/>
      <c r="IH62" s="170"/>
    </row>
    <row r="63" spans="2:242" s="171" customFormat="1" ht="47.25" hidden="1" customHeight="1" x14ac:dyDescent="0.25">
      <c r="B63" s="160"/>
      <c r="C63" s="161" t="s">
        <v>161</v>
      </c>
      <c r="D63" s="162"/>
      <c r="E63" s="163"/>
      <c r="F63" s="163"/>
      <c r="G63" s="163"/>
      <c r="H63" s="163"/>
      <c r="I63" s="163"/>
      <c r="J63" s="163"/>
      <c r="K63" s="163"/>
      <c r="L63" s="163"/>
      <c r="M63" s="163"/>
      <c r="N63" s="163"/>
      <c r="O63" s="163"/>
      <c r="P63" s="163"/>
      <c r="Q63" s="164"/>
      <c r="R63" s="164"/>
      <c r="S63" s="164"/>
      <c r="T63" s="164"/>
      <c r="U63" s="164"/>
      <c r="V63" s="164"/>
      <c r="W63" s="164"/>
      <c r="X63" s="164"/>
      <c r="Y63" s="164"/>
      <c r="Z63" s="164"/>
      <c r="AA63" s="164"/>
      <c r="AB63" s="164"/>
      <c r="AC63" s="164"/>
      <c r="AD63" s="164"/>
      <c r="AE63" s="164"/>
      <c r="AF63" s="164"/>
      <c r="AG63" s="164"/>
      <c r="AH63" s="164"/>
      <c r="AI63" s="165"/>
      <c r="AJ63" s="164"/>
      <c r="AK63" s="164"/>
      <c r="AL63" s="164"/>
      <c r="AM63" s="746"/>
      <c r="AN63" s="164"/>
      <c r="AO63" s="166"/>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7"/>
      <c r="BL63" s="168"/>
      <c r="BM63" s="168"/>
      <c r="BN63" s="168"/>
      <c r="BO63" s="168"/>
      <c r="BP63" s="168"/>
      <c r="BQ63" s="168"/>
      <c r="BR63" s="168"/>
      <c r="BS63" s="168"/>
      <c r="BT63" s="168"/>
      <c r="BU63" s="168"/>
      <c r="BV63" s="164"/>
      <c r="BW63" s="164"/>
      <c r="BX63" s="164"/>
      <c r="BY63" s="164"/>
      <c r="BZ63" s="164"/>
      <c r="CA63" s="164"/>
      <c r="CB63" s="164"/>
      <c r="CC63" s="164"/>
      <c r="CD63" s="164"/>
      <c r="CE63" s="168"/>
      <c r="CF63" s="168"/>
      <c r="CG63" s="164"/>
      <c r="CH63" s="164"/>
      <c r="CI63" s="164"/>
      <c r="CJ63" s="164"/>
      <c r="CK63" s="164"/>
      <c r="CL63" s="164"/>
      <c r="CM63" s="164"/>
      <c r="CN63" s="164"/>
      <c r="CO63" s="164"/>
      <c r="CP63" s="164"/>
      <c r="CQ63" s="164"/>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3">
        <f t="shared" si="148"/>
        <v>99183.673479999998</v>
      </c>
      <c r="EH63" s="164">
        <v>99183.673479999998</v>
      </c>
      <c r="EI63" s="164"/>
      <c r="EJ63" s="164"/>
      <c r="EK63" s="164">
        <f>EL63</f>
        <v>0</v>
      </c>
      <c r="EL63" s="164"/>
      <c r="EM63" s="164"/>
      <c r="EN63" s="164"/>
      <c r="EO63" s="164"/>
      <c r="EP63" s="164"/>
      <c r="EQ63" s="164"/>
      <c r="ER63" s="164"/>
      <c r="ES63" s="164">
        <f t="shared" si="149"/>
        <v>0</v>
      </c>
      <c r="ET63" s="164"/>
      <c r="EU63" s="164"/>
      <c r="EV63" s="164"/>
      <c r="EW63" s="164"/>
      <c r="EX63" s="164"/>
      <c r="EY63" s="164"/>
      <c r="EZ63" s="164"/>
      <c r="FA63" s="164"/>
      <c r="FB63" s="164"/>
      <c r="FC63" s="163">
        <f t="shared" si="150"/>
        <v>79624.26122</v>
      </c>
      <c r="FD63" s="163">
        <v>79624.26122</v>
      </c>
      <c r="FE63" s="163"/>
      <c r="FF63" s="163"/>
      <c r="FG63" s="163">
        <f>FH63</f>
        <v>0</v>
      </c>
      <c r="FH63" s="163">
        <f>FP63-FD63</f>
        <v>0</v>
      </c>
      <c r="FI63" s="163"/>
      <c r="FJ63" s="163"/>
      <c r="FK63" s="163"/>
      <c r="FL63" s="163"/>
      <c r="FM63" s="163"/>
      <c r="FN63" s="163"/>
      <c r="FO63" s="163">
        <f t="shared" si="151"/>
        <v>79624.26122</v>
      </c>
      <c r="FP63" s="163">
        <f>FD63</f>
        <v>79624.26122</v>
      </c>
      <c r="FQ63" s="163"/>
      <c r="FR63" s="163"/>
      <c r="FS63" s="90">
        <f t="shared" si="57"/>
        <v>76246.751999999993</v>
      </c>
      <c r="FT63" s="518">
        <f t="shared" si="81"/>
        <v>0.95758190822432843</v>
      </c>
      <c r="FU63" s="90">
        <v>76246.751999999993</v>
      </c>
      <c r="FV63" s="518">
        <f t="shared" si="82"/>
        <v>0.95758190822432843</v>
      </c>
      <c r="FW63" s="87"/>
      <c r="FX63" s="665"/>
      <c r="FY63" s="90"/>
      <c r="FZ63" s="665"/>
      <c r="GA63" s="90">
        <f t="shared" si="83"/>
        <v>76246.751999999993</v>
      </c>
      <c r="GB63" s="518">
        <f t="shared" si="84"/>
        <v>0.95758190822432843</v>
      </c>
      <c r="GC63" s="90">
        <v>76246.751999999993</v>
      </c>
      <c r="GD63" s="518">
        <f t="shared" si="85"/>
        <v>0.95758190822432843</v>
      </c>
      <c r="GE63" s="87"/>
      <c r="GF63" s="515"/>
      <c r="GG63" s="87"/>
      <c r="GH63" s="515"/>
      <c r="GI63" s="90">
        <f t="shared" si="188"/>
        <v>76246.751999999993</v>
      </c>
      <c r="GJ63" s="518">
        <f t="shared" si="86"/>
        <v>0.95758190822432843</v>
      </c>
      <c r="GK63" s="90">
        <f>GC63</f>
        <v>76246.751999999993</v>
      </c>
      <c r="GL63" s="518">
        <f t="shared" si="87"/>
        <v>0.95758190822432843</v>
      </c>
      <c r="GM63" s="90"/>
      <c r="GN63" s="518"/>
      <c r="GO63" s="90"/>
      <c r="GP63" s="518"/>
      <c r="GQ63" s="164"/>
      <c r="GR63" s="164"/>
      <c r="GS63" s="164"/>
      <c r="GT63" s="164"/>
      <c r="GU63" s="164">
        <f t="shared" si="152"/>
        <v>192000</v>
      </c>
      <c r="GV63" s="164">
        <f>200000-8000</f>
        <v>192000</v>
      </c>
      <c r="GW63" s="164"/>
      <c r="GX63" s="164"/>
      <c r="GY63" s="164"/>
      <c r="GZ63" s="164"/>
      <c r="HA63" s="164"/>
      <c r="HB63" s="164"/>
      <c r="HC63" s="164"/>
      <c r="HD63" s="164"/>
      <c r="HE63" s="164"/>
      <c r="HF63" s="164"/>
      <c r="HG63" s="164">
        <f t="shared" si="189"/>
        <v>0</v>
      </c>
      <c r="HH63" s="164">
        <v>0</v>
      </c>
      <c r="HI63" s="164"/>
      <c r="HJ63" s="164"/>
      <c r="HK63" s="164"/>
      <c r="HL63" s="164"/>
      <c r="HM63" s="164"/>
      <c r="HN63" s="164"/>
      <c r="HO63" s="163">
        <f t="shared" si="153"/>
        <v>192000</v>
      </c>
      <c r="HP63" s="164">
        <f>GV63</f>
        <v>192000</v>
      </c>
      <c r="HQ63" s="164"/>
      <c r="HR63" s="164"/>
      <c r="HS63" s="164">
        <f t="shared" si="154"/>
        <v>0</v>
      </c>
      <c r="HT63" s="164">
        <v>0</v>
      </c>
      <c r="HU63" s="164"/>
      <c r="HV63" s="164"/>
      <c r="HW63" s="164"/>
      <c r="HX63" s="164"/>
      <c r="HY63" s="164"/>
      <c r="HZ63" s="164"/>
      <c r="IA63" s="164">
        <f t="shared" si="155"/>
        <v>0</v>
      </c>
      <c r="IB63" s="164">
        <f>HT63</f>
        <v>0</v>
      </c>
      <c r="IC63" s="164"/>
      <c r="ID63" s="164"/>
      <c r="IE63" s="185"/>
      <c r="IF63" s="170"/>
      <c r="IG63" s="170"/>
      <c r="IH63" s="170"/>
    </row>
    <row r="64" spans="2:242" s="171" customFormat="1" ht="45" hidden="1" customHeight="1" x14ac:dyDescent="0.25">
      <c r="B64" s="160"/>
      <c r="C64" s="161" t="s">
        <v>148</v>
      </c>
      <c r="D64" s="162" t="s">
        <v>149</v>
      </c>
      <c r="E64" s="163">
        <f t="shared" si="156"/>
        <v>0</v>
      </c>
      <c r="F64" s="163"/>
      <c r="G64" s="163"/>
      <c r="H64" s="163">
        <f t="shared" si="157"/>
        <v>0</v>
      </c>
      <c r="I64" s="163">
        <f>L64-F64</f>
        <v>0</v>
      </c>
      <c r="J64" s="163"/>
      <c r="K64" s="163">
        <f t="shared" si="158"/>
        <v>0</v>
      </c>
      <c r="L64" s="163"/>
      <c r="M64" s="163"/>
      <c r="N64" s="163">
        <f t="shared" si="159"/>
        <v>0</v>
      </c>
      <c r="O64" s="163">
        <f>R64-L64</f>
        <v>0</v>
      </c>
      <c r="P64" s="163"/>
      <c r="Q64" s="164">
        <f t="shared" si="160"/>
        <v>0</v>
      </c>
      <c r="R64" s="164"/>
      <c r="S64" s="164"/>
      <c r="T64" s="164">
        <f t="shared" si="161"/>
        <v>0</v>
      </c>
      <c r="U64" s="164"/>
      <c r="V64" s="164"/>
      <c r="W64" s="164">
        <f t="shared" si="162"/>
        <v>0</v>
      </c>
      <c r="X64" s="164">
        <f>AA64-U64</f>
        <v>0</v>
      </c>
      <c r="Y64" s="164"/>
      <c r="Z64" s="164">
        <f t="shared" si="145"/>
        <v>0</v>
      </c>
      <c r="AA64" s="164"/>
      <c r="AB64" s="164"/>
      <c r="AC64" s="164">
        <f>AD64+AE64</f>
        <v>0</v>
      </c>
      <c r="AD64" s="164"/>
      <c r="AE64" s="164"/>
      <c r="AF64" s="164">
        <f>AG64+AH64</f>
        <v>0</v>
      </c>
      <c r="AG64" s="164"/>
      <c r="AH64" s="164"/>
      <c r="AI64" s="165">
        <f t="shared" si="164"/>
        <v>0</v>
      </c>
      <c r="AJ64" s="164"/>
      <c r="AK64" s="165">
        <f t="shared" si="165"/>
        <v>0</v>
      </c>
      <c r="AL64" s="165">
        <f t="shared" si="165"/>
        <v>0</v>
      </c>
      <c r="AM64" s="746"/>
      <c r="AN64" s="174"/>
      <c r="AO64" s="166">
        <v>1</v>
      </c>
      <c r="AP64" s="174"/>
      <c r="AQ64" s="174"/>
      <c r="AR64" s="174"/>
      <c r="AS64" s="164">
        <f t="shared" si="166"/>
        <v>500</v>
      </c>
      <c r="AT64" s="164">
        <v>500</v>
      </c>
      <c r="AU64" s="164"/>
      <c r="AV64" s="164">
        <f t="shared" si="167"/>
        <v>0</v>
      </c>
      <c r="AW64" s="164">
        <f>AZ64-AT64</f>
        <v>0</v>
      </c>
      <c r="AX64" s="164"/>
      <c r="AY64" s="164">
        <f t="shared" si="168"/>
        <v>500</v>
      </c>
      <c r="AZ64" s="164">
        <v>500</v>
      </c>
      <c r="BA64" s="164"/>
      <c r="BB64" s="164">
        <f t="shared" si="169"/>
        <v>0</v>
      </c>
      <c r="BC64" s="164"/>
      <c r="BD64" s="164"/>
      <c r="BE64" s="164">
        <f t="shared" si="170"/>
        <v>0</v>
      </c>
      <c r="BF64" s="164">
        <f>BW64-BC64</f>
        <v>0</v>
      </c>
      <c r="BG64" s="164"/>
      <c r="BH64" s="164">
        <f t="shared" si="171"/>
        <v>0</v>
      </c>
      <c r="BI64" s="164"/>
      <c r="BJ64" s="164"/>
      <c r="BK64" s="167">
        <v>1</v>
      </c>
      <c r="BL64" s="168">
        <f t="shared" si="146"/>
        <v>500</v>
      </c>
      <c r="BM64" s="168"/>
      <c r="BN64" s="168"/>
      <c r="BO64" s="168"/>
      <c r="BP64" s="168"/>
      <c r="BQ64" s="168"/>
      <c r="BR64" s="168"/>
      <c r="BS64" s="168">
        <f>BT64+BU64</f>
        <v>500</v>
      </c>
      <c r="BT64" s="168">
        <f>AZ64-BN64-BQ64</f>
        <v>500</v>
      </c>
      <c r="BU64" s="168"/>
      <c r="BV64" s="164">
        <f t="shared" si="172"/>
        <v>0</v>
      </c>
      <c r="BW64" s="164">
        <v>0</v>
      </c>
      <c r="BX64" s="164"/>
      <c r="BY64" s="164">
        <f t="shared" si="173"/>
        <v>0</v>
      </c>
      <c r="BZ64" s="164">
        <f>CC64-BW64</f>
        <v>0</v>
      </c>
      <c r="CA64" s="164"/>
      <c r="CB64" s="164">
        <f t="shared" si="174"/>
        <v>0</v>
      </c>
      <c r="CC64" s="164"/>
      <c r="CD64" s="164"/>
      <c r="CE64" s="168">
        <v>1</v>
      </c>
      <c r="CF64" s="168">
        <f t="shared" si="147"/>
        <v>0</v>
      </c>
      <c r="CG64" s="164"/>
      <c r="CH64" s="164">
        <f t="shared" si="175"/>
        <v>0</v>
      </c>
      <c r="CI64" s="164"/>
      <c r="CJ64" s="164"/>
      <c r="CK64" s="164">
        <f t="shared" si="176"/>
        <v>0</v>
      </c>
      <c r="CL64" s="164">
        <f>CR64-CI64</f>
        <v>0</v>
      </c>
      <c r="CM64" s="164"/>
      <c r="CN64" s="164"/>
      <c r="CO64" s="164"/>
      <c r="CP64" s="164"/>
      <c r="CQ64" s="164">
        <f t="shared" si="177"/>
        <v>0</v>
      </c>
      <c r="CR64" s="164"/>
      <c r="CS64" s="164"/>
      <c r="CT64" s="164">
        <f t="shared" si="178"/>
        <v>0</v>
      </c>
      <c r="CU64" s="164"/>
      <c r="CV64" s="164"/>
      <c r="CW64" s="164">
        <f t="shared" si="118"/>
        <v>0</v>
      </c>
      <c r="CX64" s="164"/>
      <c r="CY64" s="164"/>
      <c r="CZ64" s="164">
        <f t="shared" si="179"/>
        <v>0</v>
      </c>
      <c r="DA64" s="164"/>
      <c r="DB64" s="164"/>
      <c r="DC64" s="164"/>
      <c r="DD64" s="164"/>
      <c r="DE64" s="164"/>
      <c r="DF64" s="164">
        <f t="shared" si="120"/>
        <v>0</v>
      </c>
      <c r="DG64" s="164"/>
      <c r="DH64" s="164"/>
      <c r="DI64" s="164">
        <f t="shared" si="121"/>
        <v>0</v>
      </c>
      <c r="DJ64" s="164"/>
      <c r="DK64" s="164"/>
      <c r="DL64" s="164">
        <f t="shared" si="122"/>
        <v>0</v>
      </c>
      <c r="DM64" s="164"/>
      <c r="DN64" s="164"/>
      <c r="DO64" s="164">
        <f t="shared" si="180"/>
        <v>0</v>
      </c>
      <c r="DP64" s="164"/>
      <c r="DQ64" s="164"/>
      <c r="DR64" s="164">
        <f t="shared" si="124"/>
        <v>0</v>
      </c>
      <c r="DS64" s="164"/>
      <c r="DT64" s="164"/>
      <c r="DU64" s="164">
        <f t="shared" si="181"/>
        <v>0</v>
      </c>
      <c r="DV64" s="164"/>
      <c r="DW64" s="164"/>
      <c r="DX64" s="164">
        <f t="shared" si="182"/>
        <v>0</v>
      </c>
      <c r="DY64" s="164"/>
      <c r="DZ64" s="164"/>
      <c r="EA64" s="164"/>
      <c r="EB64" s="164"/>
      <c r="EC64" s="164"/>
      <c r="ED64" s="164"/>
      <c r="EE64" s="164"/>
      <c r="EF64" s="164"/>
      <c r="EG64" s="163">
        <f t="shared" si="148"/>
        <v>2723.6084600000031</v>
      </c>
      <c r="EH64" s="164">
        <f>101907.28194-EH63</f>
        <v>2723.6084600000031</v>
      </c>
      <c r="EI64" s="164"/>
      <c r="EJ64" s="164"/>
      <c r="EK64" s="164">
        <f t="shared" si="186"/>
        <v>0</v>
      </c>
      <c r="EL64" s="164"/>
      <c r="EM64" s="164"/>
      <c r="EN64" s="164"/>
      <c r="EO64" s="164">
        <f t="shared" si="183"/>
        <v>0</v>
      </c>
      <c r="EP64" s="164"/>
      <c r="EQ64" s="164"/>
      <c r="ER64" s="164"/>
      <c r="ES64" s="164">
        <f t="shared" si="149"/>
        <v>0</v>
      </c>
      <c r="ET64" s="164"/>
      <c r="EU64" s="164"/>
      <c r="EV64" s="164"/>
      <c r="EW64" s="164">
        <f t="shared" si="184"/>
        <v>0</v>
      </c>
      <c r="EX64" s="164"/>
      <c r="EY64" s="164"/>
      <c r="EZ64" s="164"/>
      <c r="FA64" s="164"/>
      <c r="FB64" s="164"/>
      <c r="FC64" s="163">
        <f t="shared" si="150"/>
        <v>44856.917289999998</v>
      </c>
      <c r="FD64" s="163">
        <v>44856.917289999998</v>
      </c>
      <c r="FE64" s="163"/>
      <c r="FF64" s="163"/>
      <c r="FG64" s="163">
        <f>FH64</f>
        <v>32729.145359999995</v>
      </c>
      <c r="FH64" s="163">
        <f>FP64-FD64</f>
        <v>32729.145359999995</v>
      </c>
      <c r="FI64" s="163"/>
      <c r="FJ64" s="163"/>
      <c r="FK64" s="163">
        <f t="shared" si="185"/>
        <v>0</v>
      </c>
      <c r="FL64" s="163"/>
      <c r="FM64" s="163"/>
      <c r="FN64" s="163"/>
      <c r="FO64" s="163">
        <f t="shared" si="151"/>
        <v>77586.062649999993</v>
      </c>
      <c r="FP64" s="163">
        <f>FD64+32729.14536</f>
        <v>77586.062649999993</v>
      </c>
      <c r="FQ64" s="163"/>
      <c r="FR64" s="163"/>
      <c r="FS64" s="90">
        <f t="shared" si="57"/>
        <v>2579.6494000000093</v>
      </c>
      <c r="FT64" s="518">
        <f t="shared" si="81"/>
        <v>5.7508396828131865E-2</v>
      </c>
      <c r="FU64" s="90">
        <f>78826.4014-FU63</f>
        <v>2579.6494000000093</v>
      </c>
      <c r="FV64" s="518">
        <f t="shared" si="82"/>
        <v>5.7508396828131865E-2</v>
      </c>
      <c r="FW64" s="87"/>
      <c r="FX64" s="665"/>
      <c r="FY64" s="90"/>
      <c r="FZ64" s="665"/>
      <c r="GA64" s="90">
        <f t="shared" si="83"/>
        <v>2579.6493999999998</v>
      </c>
      <c r="GB64" s="518">
        <f t="shared" si="84"/>
        <v>5.7508396828131657E-2</v>
      </c>
      <c r="GC64" s="90">
        <v>2579.6493999999998</v>
      </c>
      <c r="GD64" s="518">
        <f t="shared" si="85"/>
        <v>5.7508396828131657E-2</v>
      </c>
      <c r="GE64" s="87"/>
      <c r="GF64" s="515"/>
      <c r="GG64" s="87"/>
      <c r="GH64" s="515"/>
      <c r="GI64" s="90">
        <f t="shared" si="188"/>
        <v>35926.427290000007</v>
      </c>
      <c r="GJ64" s="518">
        <f t="shared" si="86"/>
        <v>0.80091164218297994</v>
      </c>
      <c r="GK64" s="90">
        <f>112173.17929-GK63</f>
        <v>35926.427290000007</v>
      </c>
      <c r="GL64" s="518">
        <f t="shared" si="87"/>
        <v>0.80091164218297994</v>
      </c>
      <c r="GM64" s="90"/>
      <c r="GN64" s="518"/>
      <c r="GO64" s="90"/>
      <c r="GP64" s="518"/>
      <c r="GQ64" s="164"/>
      <c r="GR64" s="164"/>
      <c r="GS64" s="164"/>
      <c r="GT64" s="164"/>
      <c r="GU64" s="164">
        <f t="shared" si="152"/>
        <v>1226.1220599999999</v>
      </c>
      <c r="GV64" s="164">
        <v>1226.1220599999999</v>
      </c>
      <c r="GW64" s="164"/>
      <c r="GX64" s="164"/>
      <c r="GY64" s="164"/>
      <c r="GZ64" s="164"/>
      <c r="HA64" s="164"/>
      <c r="HB64" s="164"/>
      <c r="HC64" s="164"/>
      <c r="HD64" s="164"/>
      <c r="HE64" s="164"/>
      <c r="HF64" s="164"/>
      <c r="HG64" s="164">
        <f t="shared" si="189"/>
        <v>0</v>
      </c>
      <c r="HH64" s="164">
        <f>HP64-GV64</f>
        <v>0</v>
      </c>
      <c r="HI64" s="164"/>
      <c r="HJ64" s="164"/>
      <c r="HK64" s="164"/>
      <c r="HL64" s="164"/>
      <c r="HM64" s="164"/>
      <c r="HN64" s="164"/>
      <c r="HO64" s="163">
        <f t="shared" si="153"/>
        <v>1226.1220599999999</v>
      </c>
      <c r="HP64" s="164">
        <f>GV64</f>
        <v>1226.1220599999999</v>
      </c>
      <c r="HQ64" s="164"/>
      <c r="HR64" s="164"/>
      <c r="HS64" s="164">
        <f t="shared" si="154"/>
        <v>2828.15326</v>
      </c>
      <c r="HT64" s="164">
        <v>2828.15326</v>
      </c>
      <c r="HU64" s="164"/>
      <c r="HV64" s="164"/>
      <c r="HW64" s="164"/>
      <c r="HX64" s="164"/>
      <c r="HY64" s="164"/>
      <c r="HZ64" s="164"/>
      <c r="IA64" s="164">
        <f t="shared" si="155"/>
        <v>2828.15326</v>
      </c>
      <c r="IB64" s="164">
        <f>HT64</f>
        <v>2828.15326</v>
      </c>
      <c r="IC64" s="164"/>
      <c r="ID64" s="164"/>
      <c r="IE64" s="185"/>
      <c r="IF64" s="170"/>
      <c r="IG64" s="170"/>
      <c r="IH64" s="170"/>
    </row>
    <row r="65" spans="2:242" s="202" customFormat="1" ht="58.5" customHeight="1" x14ac:dyDescent="0.25">
      <c r="B65" s="100" t="s">
        <v>168</v>
      </c>
      <c r="C65" s="101" t="s">
        <v>169</v>
      </c>
      <c r="D65" s="102" t="s">
        <v>165</v>
      </c>
      <c r="E65" s="103">
        <f t="shared" si="156"/>
        <v>0</v>
      </c>
      <c r="F65" s="104">
        <f>SUM(F67:F68)</f>
        <v>0</v>
      </c>
      <c r="G65" s="104">
        <f>SUM(G67:G68)</f>
        <v>0</v>
      </c>
      <c r="H65" s="103">
        <f t="shared" si="157"/>
        <v>0</v>
      </c>
      <c r="I65" s="104">
        <f>SUM(I67:I68)</f>
        <v>0</v>
      </c>
      <c r="J65" s="104"/>
      <c r="K65" s="103">
        <f t="shared" si="158"/>
        <v>0</v>
      </c>
      <c r="L65" s="104">
        <f>SUM(L67:L68)</f>
        <v>0</v>
      </c>
      <c r="M65" s="104">
        <f>SUM(M67:M68)</f>
        <v>0</v>
      </c>
      <c r="N65" s="103">
        <f t="shared" si="159"/>
        <v>0</v>
      </c>
      <c r="O65" s="104">
        <f>SUM(O67:O68)</f>
        <v>0</v>
      </c>
      <c r="P65" s="104"/>
      <c r="Q65" s="105">
        <f t="shared" si="160"/>
        <v>0</v>
      </c>
      <c r="R65" s="106">
        <f>SUM(R67:R68)</f>
        <v>0</v>
      </c>
      <c r="S65" s="106">
        <f>SUM(S67:S68)</f>
        <v>0</v>
      </c>
      <c r="T65" s="105">
        <f t="shared" si="161"/>
        <v>0</v>
      </c>
      <c r="U65" s="106">
        <f>SUM(U67:U68)</f>
        <v>0</v>
      </c>
      <c r="V65" s="106">
        <f>SUM(V67:V68)</f>
        <v>0</v>
      </c>
      <c r="W65" s="105">
        <f t="shared" si="162"/>
        <v>0</v>
      </c>
      <c r="X65" s="106">
        <f>SUM(X67:X68)</f>
        <v>0</v>
      </c>
      <c r="Y65" s="106"/>
      <c r="Z65" s="105">
        <f t="shared" si="145"/>
        <v>0</v>
      </c>
      <c r="AA65" s="106">
        <f t="shared" ref="AA65:AH65" si="190">SUM(AA67:AA68)</f>
        <v>0</v>
      </c>
      <c r="AB65" s="106">
        <f t="shared" si="190"/>
        <v>0</v>
      </c>
      <c r="AC65" s="106">
        <f t="shared" si="190"/>
        <v>0</v>
      </c>
      <c r="AD65" s="106">
        <f t="shared" si="190"/>
        <v>0</v>
      </c>
      <c r="AE65" s="106">
        <f t="shared" si="190"/>
        <v>0</v>
      </c>
      <c r="AF65" s="106">
        <f t="shared" si="190"/>
        <v>0</v>
      </c>
      <c r="AG65" s="106">
        <f t="shared" si="190"/>
        <v>0</v>
      </c>
      <c r="AH65" s="106">
        <f t="shared" si="190"/>
        <v>0</v>
      </c>
      <c r="AI65" s="106">
        <f t="shared" si="164"/>
        <v>0</v>
      </c>
      <c r="AJ65" s="106">
        <f>SUM(AJ67:AJ68)</f>
        <v>0</v>
      </c>
      <c r="AK65" s="106">
        <f t="shared" si="165"/>
        <v>0</v>
      </c>
      <c r="AL65" s="106">
        <f t="shared" si="165"/>
        <v>0</v>
      </c>
      <c r="AM65" s="746" t="s">
        <v>170</v>
      </c>
      <c r="AN65" s="108" t="s">
        <v>170</v>
      </c>
      <c r="AO65" s="109">
        <v>1</v>
      </c>
      <c r="AP65" s="108"/>
      <c r="AQ65" s="108"/>
      <c r="AR65" s="108"/>
      <c r="AS65" s="105">
        <f t="shared" si="166"/>
        <v>1000</v>
      </c>
      <c r="AT65" s="106">
        <f>SUM(AT67:AT68)</f>
        <v>1000</v>
      </c>
      <c r="AU65" s="106">
        <f>SUM(AU67:AU68)</f>
        <v>0</v>
      </c>
      <c r="AV65" s="105">
        <f t="shared" si="167"/>
        <v>0</v>
      </c>
      <c r="AW65" s="106">
        <f>SUM(AW67:AW68)</f>
        <v>0</v>
      </c>
      <c r="AX65" s="106"/>
      <c r="AY65" s="105">
        <f t="shared" si="168"/>
        <v>1000</v>
      </c>
      <c r="AZ65" s="106">
        <f>SUM(AZ67:AZ68)</f>
        <v>1000</v>
      </c>
      <c r="BA65" s="106">
        <f>SUM(BA67:BA68)</f>
        <v>0</v>
      </c>
      <c r="BB65" s="105">
        <f t="shared" si="169"/>
        <v>50000</v>
      </c>
      <c r="BC65" s="106">
        <f>SUM(BC67:BC68)</f>
        <v>50000</v>
      </c>
      <c r="BD65" s="106">
        <f>SUM(BD67:BD68)</f>
        <v>0</v>
      </c>
      <c r="BE65" s="105">
        <f t="shared" si="170"/>
        <v>0</v>
      </c>
      <c r="BF65" s="106">
        <f>SUM(BF67:BF68)</f>
        <v>0</v>
      </c>
      <c r="BG65" s="106"/>
      <c r="BH65" s="105">
        <f t="shared" si="171"/>
        <v>1000</v>
      </c>
      <c r="BI65" s="106">
        <f>SUM(BI67:BI68)</f>
        <v>1000</v>
      </c>
      <c r="BJ65" s="106">
        <f>SUM(BJ67:BJ68)</f>
        <v>0</v>
      </c>
      <c r="BK65" s="110">
        <v>1</v>
      </c>
      <c r="BL65" s="106">
        <f t="shared" si="146"/>
        <v>1000</v>
      </c>
      <c r="BM65" s="106"/>
      <c r="BN65" s="106"/>
      <c r="BO65" s="106"/>
      <c r="BP65" s="106"/>
      <c r="BQ65" s="106"/>
      <c r="BR65" s="106"/>
      <c r="BS65" s="106">
        <f>BS67+BS68</f>
        <v>1000</v>
      </c>
      <c r="BT65" s="106">
        <f>BT67+BT68</f>
        <v>1000</v>
      </c>
      <c r="BU65" s="106">
        <f>BU67+BU68</f>
        <v>0</v>
      </c>
      <c r="BV65" s="105">
        <f t="shared" si="172"/>
        <v>50000</v>
      </c>
      <c r="BW65" s="106">
        <f>SUM(BW67:BW68)</f>
        <v>50000</v>
      </c>
      <c r="BX65" s="106">
        <f>SUM(BX67:BX68)</f>
        <v>0</v>
      </c>
      <c r="BY65" s="105">
        <f t="shared" si="173"/>
        <v>0</v>
      </c>
      <c r="BZ65" s="106">
        <f>SUM(BZ67:BZ68)</f>
        <v>0</v>
      </c>
      <c r="CA65" s="106"/>
      <c r="CB65" s="105">
        <f t="shared" si="174"/>
        <v>1000</v>
      </c>
      <c r="CC65" s="106">
        <f>SUM(CC67:CC68)</f>
        <v>1000</v>
      </c>
      <c r="CD65" s="106">
        <f>SUM(CD67:CD68)</f>
        <v>0</v>
      </c>
      <c r="CE65" s="106">
        <v>1</v>
      </c>
      <c r="CF65" s="106">
        <f t="shared" si="147"/>
        <v>1000</v>
      </c>
      <c r="CG65" s="105"/>
      <c r="CH65" s="105">
        <f t="shared" si="175"/>
        <v>50000</v>
      </c>
      <c r="CI65" s="106">
        <f>SUM(CI67:CI68)</f>
        <v>50000</v>
      </c>
      <c r="CJ65" s="106">
        <f>SUM(CJ67:CJ68)</f>
        <v>0</v>
      </c>
      <c r="CK65" s="105">
        <f t="shared" si="176"/>
        <v>0</v>
      </c>
      <c r="CL65" s="106">
        <f>SUM(CL67:CL68)</f>
        <v>0</v>
      </c>
      <c r="CM65" s="106"/>
      <c r="CN65" s="106"/>
      <c r="CO65" s="106"/>
      <c r="CP65" s="106"/>
      <c r="CQ65" s="105">
        <f t="shared" si="177"/>
        <v>50000</v>
      </c>
      <c r="CR65" s="106">
        <f>SUM(CR67:CR68)</f>
        <v>50000</v>
      </c>
      <c r="CS65" s="106">
        <f>SUM(CS67:CS68)</f>
        <v>0</v>
      </c>
      <c r="CT65" s="105">
        <f t="shared" si="178"/>
        <v>0</v>
      </c>
      <c r="CU65" s="106"/>
      <c r="CV65" s="106"/>
      <c r="CW65" s="105">
        <f t="shared" si="118"/>
        <v>2774.20597</v>
      </c>
      <c r="CX65" s="106">
        <f>SUM(CX67:CX68)</f>
        <v>2774.20597</v>
      </c>
      <c r="CY65" s="106"/>
      <c r="CZ65" s="105">
        <f t="shared" si="179"/>
        <v>50000</v>
      </c>
      <c r="DA65" s="106">
        <f>SUM(DA67:DA68)</f>
        <v>50000</v>
      </c>
      <c r="DB65" s="106">
        <f>SUM(DB67:DB68)</f>
        <v>0</v>
      </c>
      <c r="DC65" s="106"/>
      <c r="DD65" s="106"/>
      <c r="DE65" s="106"/>
      <c r="DF65" s="105">
        <f t="shared" si="120"/>
        <v>0</v>
      </c>
      <c r="DG65" s="106">
        <f>SUM(DG67:DG68)</f>
        <v>0</v>
      </c>
      <c r="DH65" s="106">
        <f>SUM(DH67:DH68)</f>
        <v>0</v>
      </c>
      <c r="DI65" s="105">
        <f t="shared" si="121"/>
        <v>2774.20597</v>
      </c>
      <c r="DJ65" s="106">
        <f>SUM(DJ67:DJ68)</f>
        <v>2774.20597</v>
      </c>
      <c r="DK65" s="106">
        <f>SUM(DK67:DK68)</f>
        <v>0</v>
      </c>
      <c r="DL65" s="105">
        <f t="shared" si="122"/>
        <v>2274.20597</v>
      </c>
      <c r="DM65" s="106">
        <f>SUM(DM67:DM68)</f>
        <v>2274.20597</v>
      </c>
      <c r="DN65" s="106">
        <f>SUM(DN67:DN68)</f>
        <v>0</v>
      </c>
      <c r="DO65" s="105">
        <f t="shared" si="180"/>
        <v>0</v>
      </c>
      <c r="DP65" s="106">
        <f>SUM(DP67:DP68)</f>
        <v>0</v>
      </c>
      <c r="DQ65" s="106">
        <f>SUM(DQ67:DQ68)</f>
        <v>0</v>
      </c>
      <c r="DR65" s="105">
        <f t="shared" si="124"/>
        <v>500</v>
      </c>
      <c r="DS65" s="106">
        <f>SUM(DS67:DS68)</f>
        <v>500</v>
      </c>
      <c r="DT65" s="106">
        <f>SUM(DT67:DT68)</f>
        <v>0</v>
      </c>
      <c r="DU65" s="105">
        <f t="shared" si="181"/>
        <v>50000</v>
      </c>
      <c r="DV65" s="106">
        <f>SUM(DV67:DV68)</f>
        <v>50000</v>
      </c>
      <c r="DW65" s="106"/>
      <c r="DX65" s="105">
        <f t="shared" si="182"/>
        <v>55000</v>
      </c>
      <c r="DY65" s="106">
        <f>SUM(DY67:DY68)</f>
        <v>55000</v>
      </c>
      <c r="DZ65" s="106">
        <f>SUM(DZ67:DZ68)</f>
        <v>0</v>
      </c>
      <c r="EA65" s="106"/>
      <c r="EB65" s="106"/>
      <c r="EC65" s="106"/>
      <c r="ED65" s="106">
        <f>EE65</f>
        <v>512663.4</v>
      </c>
      <c r="EE65" s="106">
        <f>EE67</f>
        <v>512663.4</v>
      </c>
      <c r="EF65" s="106"/>
      <c r="EG65" s="106">
        <f t="shared" si="148"/>
        <v>571000</v>
      </c>
      <c r="EH65" s="106">
        <f>EH67+EH68</f>
        <v>571000</v>
      </c>
      <c r="EI65" s="106"/>
      <c r="EJ65" s="106"/>
      <c r="EK65" s="105">
        <f t="shared" si="186"/>
        <v>0</v>
      </c>
      <c r="EL65" s="106">
        <f>SUM(EL67:EL68)</f>
        <v>0</v>
      </c>
      <c r="EM65" s="106"/>
      <c r="EN65" s="106">
        <f>SUM(EN67:EN68)</f>
        <v>0</v>
      </c>
      <c r="EO65" s="105">
        <f t="shared" si="183"/>
        <v>0</v>
      </c>
      <c r="EP65" s="106">
        <f>SUM(EP67:EP68)</f>
        <v>0</v>
      </c>
      <c r="EQ65" s="106"/>
      <c r="ER65" s="106">
        <f>SUM(ER67:ER68)</f>
        <v>0</v>
      </c>
      <c r="ES65" s="106">
        <f>ET65+EV65</f>
        <v>0</v>
      </c>
      <c r="ET65" s="106">
        <f>ET67+ET68</f>
        <v>0</v>
      </c>
      <c r="EU65" s="106"/>
      <c r="EV65" s="106"/>
      <c r="EW65" s="105">
        <f t="shared" si="184"/>
        <v>55000</v>
      </c>
      <c r="EX65" s="106">
        <f>SUM(EX67:EX68)</f>
        <v>55000</v>
      </c>
      <c r="EY65" s="106">
        <f>SUM(EY67:EY68)</f>
        <v>0</v>
      </c>
      <c r="EZ65" s="106">
        <f>FA65</f>
        <v>507663.4</v>
      </c>
      <c r="FA65" s="106">
        <f>FA67</f>
        <v>507663.4</v>
      </c>
      <c r="FB65" s="106"/>
      <c r="FC65" s="104">
        <f>FC66+FC69</f>
        <v>1274398.2147300001</v>
      </c>
      <c r="FD65" s="104">
        <f>FD66+FD69</f>
        <v>1274398.2147300001</v>
      </c>
      <c r="FE65" s="104"/>
      <c r="FF65" s="104"/>
      <c r="FG65" s="103">
        <f t="shared" si="187"/>
        <v>3398.2147299999997</v>
      </c>
      <c r="FH65" s="104">
        <f>SUM(FH67:FH68)</f>
        <v>3398.2147299999997</v>
      </c>
      <c r="FI65" s="104"/>
      <c r="FJ65" s="104">
        <f>SUM(FJ67:FJ68)</f>
        <v>0</v>
      </c>
      <c r="FK65" s="103">
        <f t="shared" si="185"/>
        <v>0</v>
      </c>
      <c r="FL65" s="104">
        <f>SUM(FL67:FL68)</f>
        <v>0</v>
      </c>
      <c r="FM65" s="104"/>
      <c r="FN65" s="104">
        <f>SUM(FN67:FN68)</f>
        <v>0</v>
      </c>
      <c r="FO65" s="104">
        <f t="shared" si="151"/>
        <v>577796.42946000001</v>
      </c>
      <c r="FP65" s="104">
        <f>FP67+FP68</f>
        <v>577796.42946000001</v>
      </c>
      <c r="FQ65" s="104"/>
      <c r="FR65" s="104"/>
      <c r="FS65" s="629">
        <f t="shared" si="57"/>
        <v>1033910.77783</v>
      </c>
      <c r="FT65" s="595">
        <f t="shared" si="81"/>
        <v>0.8112933350656405</v>
      </c>
      <c r="FU65" s="629">
        <f>FU66+FU69</f>
        <v>1033910.77783</v>
      </c>
      <c r="FV65" s="595">
        <f t="shared" si="82"/>
        <v>0.8112933350656405</v>
      </c>
      <c r="FW65" s="522"/>
      <c r="FX65" s="666"/>
      <c r="FY65" s="629"/>
      <c r="FZ65" s="666"/>
      <c r="GA65" s="629">
        <f t="shared" si="83"/>
        <v>931553.28859000001</v>
      </c>
      <c r="GB65" s="595">
        <f t="shared" si="84"/>
        <v>0.73097504204159858</v>
      </c>
      <c r="GC65" s="629">
        <f>GC66+GC69</f>
        <v>931553.28859000001</v>
      </c>
      <c r="GD65" s="595">
        <f t="shared" si="85"/>
        <v>0.73097504204159858</v>
      </c>
      <c r="GE65" s="522"/>
      <c r="GF65" s="514"/>
      <c r="GG65" s="522"/>
      <c r="GH65" s="514"/>
      <c r="GI65" s="629">
        <f t="shared" si="188"/>
        <v>1274348.55391</v>
      </c>
      <c r="GJ65" s="595">
        <f t="shared" si="86"/>
        <v>0.99996103194478292</v>
      </c>
      <c r="GK65" s="629">
        <f>GK66+GK69</f>
        <v>1274348.55391</v>
      </c>
      <c r="GL65" s="595">
        <f t="shared" si="87"/>
        <v>0.99996103194478292</v>
      </c>
      <c r="GM65" s="629"/>
      <c r="GN65" s="595"/>
      <c r="GO65" s="629"/>
      <c r="GP65" s="595"/>
      <c r="GQ65" s="106"/>
      <c r="GR65" s="106"/>
      <c r="GS65" s="106"/>
      <c r="GT65" s="106"/>
      <c r="GU65" s="106">
        <f t="shared" si="152"/>
        <v>571000</v>
      </c>
      <c r="GV65" s="106">
        <f>GV67+GV68</f>
        <v>571000</v>
      </c>
      <c r="GW65" s="106"/>
      <c r="GX65" s="106"/>
      <c r="GY65" s="106"/>
      <c r="GZ65" s="106"/>
      <c r="HA65" s="106"/>
      <c r="HB65" s="106"/>
      <c r="HC65" s="106"/>
      <c r="HD65" s="106"/>
      <c r="HE65" s="106"/>
      <c r="HF65" s="106"/>
      <c r="HG65" s="106">
        <f t="shared" si="189"/>
        <v>0</v>
      </c>
      <c r="HH65" s="106">
        <f>HH67</f>
        <v>0</v>
      </c>
      <c r="HI65" s="106"/>
      <c r="HJ65" s="106"/>
      <c r="HK65" s="106">
        <f>HL65</f>
        <v>0</v>
      </c>
      <c r="HL65" s="106">
        <f>HL67</f>
        <v>0</v>
      </c>
      <c r="HM65" s="106"/>
      <c r="HN65" s="106"/>
      <c r="HO65" s="106">
        <f t="shared" si="153"/>
        <v>571000</v>
      </c>
      <c r="HP65" s="106">
        <f>HP67+HP68</f>
        <v>571000</v>
      </c>
      <c r="HQ65" s="106"/>
      <c r="HR65" s="106"/>
      <c r="HS65" s="106">
        <f t="shared" si="154"/>
        <v>571000</v>
      </c>
      <c r="HT65" s="106">
        <f>HT67+HT68</f>
        <v>571000</v>
      </c>
      <c r="HU65" s="106"/>
      <c r="HV65" s="106"/>
      <c r="HW65" s="106">
        <f>HX65</f>
        <v>0</v>
      </c>
      <c r="HX65" s="106">
        <f>HX67</f>
        <v>0</v>
      </c>
      <c r="HY65" s="106"/>
      <c r="HZ65" s="106"/>
      <c r="IA65" s="106">
        <f t="shared" si="155"/>
        <v>571000</v>
      </c>
      <c r="IB65" s="106">
        <f>IB67+IB68</f>
        <v>571000</v>
      </c>
      <c r="IC65" s="106"/>
      <c r="ID65" s="106"/>
      <c r="IE65" s="112" t="s">
        <v>171</v>
      </c>
      <c r="IF65" s="173"/>
      <c r="IG65" s="173"/>
      <c r="IH65" s="173"/>
    </row>
    <row r="66" spans="2:242" s="184" customFormat="1" ht="46.5" customHeight="1" x14ac:dyDescent="0.25">
      <c r="B66" s="178"/>
      <c r="C66" s="101" t="s">
        <v>131</v>
      </c>
      <c r="D66" s="179"/>
      <c r="E66" s="180"/>
      <c r="F66" s="180"/>
      <c r="G66" s="180"/>
      <c r="H66" s="180"/>
      <c r="I66" s="180"/>
      <c r="J66" s="180"/>
      <c r="K66" s="180"/>
      <c r="L66" s="180"/>
      <c r="M66" s="180"/>
      <c r="N66" s="180"/>
      <c r="O66" s="180"/>
      <c r="P66" s="180"/>
      <c r="Q66" s="181"/>
      <c r="R66" s="181"/>
      <c r="S66" s="181"/>
      <c r="T66" s="181"/>
      <c r="U66" s="181"/>
      <c r="V66" s="181"/>
      <c r="W66" s="181"/>
      <c r="X66" s="181"/>
      <c r="Y66" s="181"/>
      <c r="Z66" s="181"/>
      <c r="AA66" s="181"/>
      <c r="AB66" s="181"/>
      <c r="AC66" s="181"/>
      <c r="AD66" s="181"/>
      <c r="AE66" s="181"/>
      <c r="AF66" s="181"/>
      <c r="AG66" s="181"/>
      <c r="AH66" s="181"/>
      <c r="AI66" s="182"/>
      <c r="AJ66" s="181"/>
      <c r="AK66" s="181"/>
      <c r="AL66" s="181"/>
      <c r="AM66" s="746"/>
      <c r="AN66" s="181"/>
      <c r="AO66" s="109"/>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10"/>
      <c r="BL66" s="106"/>
      <c r="BM66" s="106"/>
      <c r="BN66" s="106"/>
      <c r="BO66" s="106"/>
      <c r="BP66" s="106"/>
      <c r="BQ66" s="106"/>
      <c r="BR66" s="106"/>
      <c r="BS66" s="106"/>
      <c r="BT66" s="106"/>
      <c r="BU66" s="106"/>
      <c r="BV66" s="181"/>
      <c r="BW66" s="181"/>
      <c r="BX66" s="181"/>
      <c r="BY66" s="181"/>
      <c r="BZ66" s="181"/>
      <c r="CA66" s="181"/>
      <c r="CB66" s="181"/>
      <c r="CC66" s="181"/>
      <c r="CD66" s="181"/>
      <c r="CE66" s="106"/>
      <c r="CF66" s="106"/>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f>EH66</f>
        <v>805000</v>
      </c>
      <c r="EH66" s="181">
        <f>EH67+EH68+EH69</f>
        <v>805000</v>
      </c>
      <c r="EI66" s="181"/>
      <c r="EJ66" s="181"/>
      <c r="EK66" s="181">
        <f>EL66</f>
        <v>0</v>
      </c>
      <c r="EL66" s="181">
        <f>SUM(EL67:EL69)</f>
        <v>0</v>
      </c>
      <c r="EM66" s="181"/>
      <c r="EN66" s="181"/>
      <c r="EO66" s="181"/>
      <c r="EP66" s="181"/>
      <c r="EQ66" s="181"/>
      <c r="ER66" s="181"/>
      <c r="ES66" s="181">
        <f>ET66</f>
        <v>0</v>
      </c>
      <c r="ET66" s="181">
        <f>SUM(ET67:ET69)</f>
        <v>0</v>
      </c>
      <c r="EU66" s="181"/>
      <c r="EV66" s="181"/>
      <c r="EW66" s="181"/>
      <c r="EX66" s="181"/>
      <c r="EY66" s="181"/>
      <c r="EZ66" s="181"/>
      <c r="FA66" s="181"/>
      <c r="FB66" s="181"/>
      <c r="FC66" s="180">
        <f>FD66</f>
        <v>574398.21473000001</v>
      </c>
      <c r="FD66" s="180">
        <f>FD67+FD68</f>
        <v>574398.21473000001</v>
      </c>
      <c r="FE66" s="180"/>
      <c r="FF66" s="180"/>
      <c r="FG66" s="180">
        <f>FH66</f>
        <v>-462601.78526999999</v>
      </c>
      <c r="FH66" s="104">
        <f>SUM(FH67:FH69)</f>
        <v>-462601.78526999999</v>
      </c>
      <c r="FI66" s="180"/>
      <c r="FJ66" s="180"/>
      <c r="FK66" s="180"/>
      <c r="FL66" s="180"/>
      <c r="FM66" s="180"/>
      <c r="FN66" s="180"/>
      <c r="FO66" s="180">
        <f>FP66</f>
        <v>811796.42946000001</v>
      </c>
      <c r="FP66" s="180">
        <f>FP67+FP68+FP69</f>
        <v>811796.42946000001</v>
      </c>
      <c r="FQ66" s="180"/>
      <c r="FR66" s="180"/>
      <c r="FS66" s="629">
        <f>FU66+FW66+FY66</f>
        <v>675356.77467000007</v>
      </c>
      <c r="FT66" s="595">
        <f>FS66/FC66</f>
        <v>1.1757640559301814</v>
      </c>
      <c r="FU66" s="180">
        <f>FU67+FU68</f>
        <v>675356.77467000007</v>
      </c>
      <c r="FV66" s="595">
        <f>FU66/FD66</f>
        <v>1.1757640559301814</v>
      </c>
      <c r="FW66" s="522"/>
      <c r="FX66" s="666"/>
      <c r="FY66" s="180"/>
      <c r="FZ66" s="666"/>
      <c r="GA66" s="180">
        <f>GC66+GE66+GG66</f>
        <v>572999.28543000005</v>
      </c>
      <c r="GB66" s="595">
        <f>GA66/FC66</f>
        <v>0.99756453055715444</v>
      </c>
      <c r="GC66" s="180">
        <f>GC67+GC68</f>
        <v>572999.28543000005</v>
      </c>
      <c r="GD66" s="595">
        <f>GC66/FD66</f>
        <v>0.99756453055715444</v>
      </c>
      <c r="GE66" s="522"/>
      <c r="GF66" s="514"/>
      <c r="GG66" s="522"/>
      <c r="GH66" s="514"/>
      <c r="GI66" s="629">
        <f t="shared" si="188"/>
        <v>574348.55391000002</v>
      </c>
      <c r="GJ66" s="595">
        <f>GI66/FC66</f>
        <v>0.99991354287195455</v>
      </c>
      <c r="GK66" s="180">
        <f>GK67+GK68</f>
        <v>574348.55391000002</v>
      </c>
      <c r="GL66" s="595">
        <f>GK66/FD66</f>
        <v>0.99991354287195455</v>
      </c>
      <c r="GM66" s="629"/>
      <c r="GN66" s="595"/>
      <c r="GO66" s="629"/>
      <c r="GP66" s="595"/>
      <c r="GQ66" s="181"/>
      <c r="GR66" s="181"/>
      <c r="GS66" s="181"/>
      <c r="GT66" s="181"/>
      <c r="GU66" s="181">
        <f>GV66</f>
        <v>788000</v>
      </c>
      <c r="GV66" s="181">
        <f>GV67+GV68+GV69</f>
        <v>788000</v>
      </c>
      <c r="GW66" s="181"/>
      <c r="GX66" s="181"/>
      <c r="GY66" s="181"/>
      <c r="GZ66" s="181"/>
      <c r="HA66" s="181"/>
      <c r="HB66" s="181"/>
      <c r="HC66" s="181"/>
      <c r="HD66" s="181"/>
      <c r="HE66" s="181"/>
      <c r="HF66" s="181"/>
      <c r="HG66" s="181">
        <f>HH66</f>
        <v>0</v>
      </c>
      <c r="HH66" s="181">
        <v>0</v>
      </c>
      <c r="HI66" s="181"/>
      <c r="HJ66" s="181"/>
      <c r="HK66" s="181"/>
      <c r="HL66" s="181"/>
      <c r="HM66" s="181"/>
      <c r="HN66" s="181"/>
      <c r="HO66" s="181">
        <f>HP66</f>
        <v>788000</v>
      </c>
      <c r="HP66" s="181">
        <f>HP67+HP68+HP69</f>
        <v>788000</v>
      </c>
      <c r="HQ66" s="181"/>
      <c r="HR66" s="181"/>
      <c r="HS66" s="181">
        <f>HT66</f>
        <v>571000</v>
      </c>
      <c r="HT66" s="181">
        <f>SUM(HT67:HT69)</f>
        <v>571000</v>
      </c>
      <c r="HU66" s="181"/>
      <c r="HV66" s="181"/>
      <c r="HW66" s="181"/>
      <c r="HX66" s="181"/>
      <c r="HY66" s="181"/>
      <c r="HZ66" s="181"/>
      <c r="IA66" s="181">
        <f>IB66</f>
        <v>899970</v>
      </c>
      <c r="IB66" s="181">
        <f>SUM(IB67:IB69)</f>
        <v>899970</v>
      </c>
      <c r="IC66" s="181"/>
      <c r="ID66" s="181"/>
      <c r="IE66" s="169"/>
      <c r="IF66" s="183"/>
      <c r="IG66" s="183"/>
      <c r="IH66" s="183"/>
    </row>
    <row r="67" spans="2:242" s="171" customFormat="1" ht="30" hidden="1" customHeight="1" x14ac:dyDescent="0.25">
      <c r="B67" s="186"/>
      <c r="C67" s="161" t="s">
        <v>146</v>
      </c>
      <c r="D67" s="162"/>
      <c r="E67" s="163">
        <f t="shared" si="156"/>
        <v>0</v>
      </c>
      <c r="F67" s="163"/>
      <c r="G67" s="163"/>
      <c r="H67" s="163">
        <f t="shared" si="157"/>
        <v>0</v>
      </c>
      <c r="I67" s="163">
        <f>L67-F67</f>
        <v>0</v>
      </c>
      <c r="J67" s="163"/>
      <c r="K67" s="163">
        <f t="shared" si="158"/>
        <v>0</v>
      </c>
      <c r="L67" s="163"/>
      <c r="M67" s="163"/>
      <c r="N67" s="163">
        <f t="shared" si="159"/>
        <v>0</v>
      </c>
      <c r="O67" s="163">
        <f>R67-L67</f>
        <v>0</v>
      </c>
      <c r="P67" s="163"/>
      <c r="Q67" s="164">
        <f t="shared" si="160"/>
        <v>0</v>
      </c>
      <c r="R67" s="164"/>
      <c r="S67" s="164"/>
      <c r="T67" s="164">
        <f t="shared" si="161"/>
        <v>0</v>
      </c>
      <c r="U67" s="164"/>
      <c r="V67" s="164"/>
      <c r="W67" s="164">
        <f t="shared" si="162"/>
        <v>0</v>
      </c>
      <c r="X67" s="164">
        <f>AA67-U67</f>
        <v>0</v>
      </c>
      <c r="Y67" s="164"/>
      <c r="Z67" s="164">
        <f t="shared" si="145"/>
        <v>0</v>
      </c>
      <c r="AA67" s="164">
        <v>0</v>
      </c>
      <c r="AB67" s="164"/>
      <c r="AC67" s="164">
        <f>AD67+AE67</f>
        <v>0</v>
      </c>
      <c r="AD67" s="164"/>
      <c r="AE67" s="164"/>
      <c r="AF67" s="164">
        <f>AG67+AH67</f>
        <v>0</v>
      </c>
      <c r="AG67" s="164"/>
      <c r="AH67" s="164"/>
      <c r="AI67" s="165">
        <f t="shared" si="164"/>
        <v>0</v>
      </c>
      <c r="AJ67" s="164"/>
      <c r="AK67" s="165">
        <f t="shared" si="165"/>
        <v>0</v>
      </c>
      <c r="AL67" s="165">
        <f t="shared" si="165"/>
        <v>0</v>
      </c>
      <c r="AM67" s="746"/>
      <c r="AN67" s="174"/>
      <c r="AO67" s="166">
        <v>1</v>
      </c>
      <c r="AP67" s="174"/>
      <c r="AQ67" s="174"/>
      <c r="AR67" s="174"/>
      <c r="AS67" s="164">
        <f t="shared" si="166"/>
        <v>0</v>
      </c>
      <c r="AT67" s="164"/>
      <c r="AU67" s="164"/>
      <c r="AV67" s="164">
        <f t="shared" si="167"/>
        <v>0</v>
      </c>
      <c r="AW67" s="164">
        <f>AZ67-AT67</f>
        <v>0</v>
      </c>
      <c r="AX67" s="164"/>
      <c r="AY67" s="164">
        <f t="shared" si="168"/>
        <v>0</v>
      </c>
      <c r="AZ67" s="164"/>
      <c r="BA67" s="164"/>
      <c r="BB67" s="164">
        <f t="shared" si="169"/>
        <v>0</v>
      </c>
      <c r="BC67" s="164"/>
      <c r="BD67" s="164"/>
      <c r="BE67" s="164">
        <f t="shared" si="170"/>
        <v>0</v>
      </c>
      <c r="BF67" s="164">
        <f>BW67-BC67</f>
        <v>0</v>
      </c>
      <c r="BG67" s="164"/>
      <c r="BH67" s="164">
        <f t="shared" si="171"/>
        <v>0</v>
      </c>
      <c r="BI67" s="164"/>
      <c r="BJ67" s="164"/>
      <c r="BK67" s="167">
        <v>1</v>
      </c>
      <c r="BL67" s="168">
        <f t="shared" si="146"/>
        <v>0</v>
      </c>
      <c r="BM67" s="168"/>
      <c r="BN67" s="168"/>
      <c r="BO67" s="168"/>
      <c r="BP67" s="168"/>
      <c r="BQ67" s="168"/>
      <c r="BR67" s="168"/>
      <c r="BS67" s="168">
        <f>BT67+BU67</f>
        <v>0</v>
      </c>
      <c r="BT67" s="168">
        <f>AZ67-BN67-BQ67</f>
        <v>0</v>
      </c>
      <c r="BU67" s="168"/>
      <c r="BV67" s="164">
        <f t="shared" si="172"/>
        <v>0</v>
      </c>
      <c r="BW67" s="164"/>
      <c r="BX67" s="164"/>
      <c r="BY67" s="164">
        <f t="shared" si="173"/>
        <v>0</v>
      </c>
      <c r="BZ67" s="164">
        <f>CC67-BW67</f>
        <v>0</v>
      </c>
      <c r="CA67" s="164"/>
      <c r="CB67" s="164">
        <f t="shared" si="174"/>
        <v>0</v>
      </c>
      <c r="CC67" s="164"/>
      <c r="CD67" s="164"/>
      <c r="CE67" s="168">
        <v>1</v>
      </c>
      <c r="CF67" s="168">
        <f t="shared" si="147"/>
        <v>0</v>
      </c>
      <c r="CG67" s="164"/>
      <c r="CH67" s="164">
        <f t="shared" si="175"/>
        <v>0</v>
      </c>
      <c r="CI67" s="164"/>
      <c r="CJ67" s="164"/>
      <c r="CK67" s="164">
        <f t="shared" si="176"/>
        <v>50000</v>
      </c>
      <c r="CL67" s="164">
        <f>CR67-CI67</f>
        <v>50000</v>
      </c>
      <c r="CM67" s="164"/>
      <c r="CN67" s="164"/>
      <c r="CO67" s="164"/>
      <c r="CP67" s="164"/>
      <c r="CQ67" s="164">
        <f t="shared" si="177"/>
        <v>50000</v>
      </c>
      <c r="CR67" s="164">
        <v>50000</v>
      </c>
      <c r="CS67" s="164"/>
      <c r="CT67" s="164">
        <f t="shared" si="178"/>
        <v>0</v>
      </c>
      <c r="CU67" s="164"/>
      <c r="CV67" s="164"/>
      <c r="CW67" s="164">
        <f t="shared" si="118"/>
        <v>0</v>
      </c>
      <c r="CX67" s="164"/>
      <c r="CY67" s="164"/>
      <c r="CZ67" s="164">
        <f t="shared" si="179"/>
        <v>50000</v>
      </c>
      <c r="DA67" s="164">
        <v>50000</v>
      </c>
      <c r="DB67" s="164"/>
      <c r="DC67" s="164"/>
      <c r="DD67" s="164"/>
      <c r="DE67" s="164"/>
      <c r="DF67" s="164">
        <f t="shared" si="120"/>
        <v>0</v>
      </c>
      <c r="DG67" s="164">
        <f>DJ67-CX67</f>
        <v>0</v>
      </c>
      <c r="DH67" s="164"/>
      <c r="DI67" s="164">
        <f t="shared" si="121"/>
        <v>0</v>
      </c>
      <c r="DJ67" s="164">
        <v>0</v>
      </c>
      <c r="DK67" s="164"/>
      <c r="DL67" s="164">
        <f t="shared" si="122"/>
        <v>0</v>
      </c>
      <c r="DM67" s="164"/>
      <c r="DN67" s="164"/>
      <c r="DO67" s="164">
        <f t="shared" si="180"/>
        <v>0</v>
      </c>
      <c r="DP67" s="164"/>
      <c r="DQ67" s="164"/>
      <c r="DR67" s="164">
        <f t="shared" si="124"/>
        <v>0</v>
      </c>
      <c r="DS67" s="164"/>
      <c r="DT67" s="164"/>
      <c r="DU67" s="144">
        <f t="shared" si="181"/>
        <v>50000</v>
      </c>
      <c r="DV67" s="164">
        <v>50000</v>
      </c>
      <c r="DW67" s="164"/>
      <c r="DX67" s="164">
        <f t="shared" si="182"/>
        <v>55000</v>
      </c>
      <c r="DY67" s="164">
        <v>55000</v>
      </c>
      <c r="DZ67" s="164"/>
      <c r="EA67" s="164"/>
      <c r="EB67" s="164"/>
      <c r="EC67" s="164"/>
      <c r="ED67" s="164">
        <f>EE67</f>
        <v>512663.4</v>
      </c>
      <c r="EE67" s="164">
        <f>EH67-DV67</f>
        <v>512663.4</v>
      </c>
      <c r="EF67" s="164"/>
      <c r="EG67" s="164">
        <f t="shared" si="148"/>
        <v>562663.4</v>
      </c>
      <c r="EH67" s="164">
        <v>562663.4</v>
      </c>
      <c r="EI67" s="164"/>
      <c r="EJ67" s="164"/>
      <c r="EK67" s="164">
        <f t="shared" si="186"/>
        <v>0</v>
      </c>
      <c r="EL67" s="164"/>
      <c r="EM67" s="164"/>
      <c r="EN67" s="164"/>
      <c r="EO67" s="164">
        <f t="shared" si="183"/>
        <v>0</v>
      </c>
      <c r="EP67" s="164"/>
      <c r="EQ67" s="164"/>
      <c r="ER67" s="164"/>
      <c r="ES67" s="164">
        <f>ET67+EV67</f>
        <v>0</v>
      </c>
      <c r="ET67" s="164"/>
      <c r="EU67" s="164"/>
      <c r="EV67" s="164"/>
      <c r="EW67" s="144">
        <f t="shared" si="184"/>
        <v>55000</v>
      </c>
      <c r="EX67" s="164">
        <v>55000</v>
      </c>
      <c r="EY67" s="164"/>
      <c r="EZ67" s="164">
        <f>FA67</f>
        <v>507663.4</v>
      </c>
      <c r="FA67" s="164">
        <f>FD67-EW67</f>
        <v>507663.4</v>
      </c>
      <c r="FB67" s="164"/>
      <c r="FC67" s="163">
        <f t="shared" si="150"/>
        <v>562663.4</v>
      </c>
      <c r="FD67" s="163">
        <v>562663.4</v>
      </c>
      <c r="FE67" s="163"/>
      <c r="FF67" s="163"/>
      <c r="FG67" s="163">
        <f t="shared" si="187"/>
        <v>0</v>
      </c>
      <c r="FH67" s="163">
        <f>FP67-FD67</f>
        <v>0</v>
      </c>
      <c r="FI67" s="163"/>
      <c r="FJ67" s="163"/>
      <c r="FK67" s="163">
        <f t="shared" si="185"/>
        <v>0</v>
      </c>
      <c r="FL67" s="163"/>
      <c r="FM67" s="163"/>
      <c r="FN67" s="163"/>
      <c r="FO67" s="163">
        <f t="shared" si="151"/>
        <v>562663.4</v>
      </c>
      <c r="FP67" s="163">
        <f>FD67</f>
        <v>562663.4</v>
      </c>
      <c r="FQ67" s="163"/>
      <c r="FR67" s="163"/>
      <c r="FS67" s="90">
        <f>FU67</f>
        <v>665020.88924000005</v>
      </c>
      <c r="FT67" s="518">
        <f t="shared" si="81"/>
        <v>1.1819160251759755</v>
      </c>
      <c r="FU67" s="90">
        <v>665020.88924000005</v>
      </c>
      <c r="FV67" s="518">
        <f t="shared" si="82"/>
        <v>1.1819160251759755</v>
      </c>
      <c r="FW67" s="87"/>
      <c r="FX67" s="665"/>
      <c r="FY67" s="90"/>
      <c r="FZ67" s="665"/>
      <c r="GA67" s="90">
        <f t="shared" si="83"/>
        <v>562663.4</v>
      </c>
      <c r="GB67" s="518">
        <f t="shared" si="84"/>
        <v>1</v>
      </c>
      <c r="GC67" s="90">
        <f>FD67</f>
        <v>562663.4</v>
      </c>
      <c r="GD67" s="518">
        <f t="shared" si="85"/>
        <v>1</v>
      </c>
      <c r="GE67" s="87"/>
      <c r="GF67" s="515"/>
      <c r="GG67" s="87"/>
      <c r="GH67" s="515"/>
      <c r="GI67" s="90">
        <f>GK67</f>
        <v>562663.4</v>
      </c>
      <c r="GJ67" s="518">
        <f t="shared" si="86"/>
        <v>1</v>
      </c>
      <c r="GK67" s="90">
        <v>562663.4</v>
      </c>
      <c r="GL67" s="518">
        <f t="shared" si="87"/>
        <v>1</v>
      </c>
      <c r="GM67" s="90"/>
      <c r="GN67" s="518"/>
      <c r="GO67" s="90"/>
      <c r="GP67" s="518"/>
      <c r="GQ67" s="164"/>
      <c r="GR67" s="164"/>
      <c r="GS67" s="164"/>
      <c r="GT67" s="164"/>
      <c r="GU67" s="164">
        <f t="shared" si="152"/>
        <v>562663.4</v>
      </c>
      <c r="GV67" s="164">
        <v>562663.4</v>
      </c>
      <c r="GW67" s="164"/>
      <c r="GX67" s="164"/>
      <c r="GY67" s="164"/>
      <c r="GZ67" s="164"/>
      <c r="HA67" s="164"/>
      <c r="HB67" s="164"/>
      <c r="HC67" s="164"/>
      <c r="HD67" s="164"/>
      <c r="HE67" s="164"/>
      <c r="HF67" s="164"/>
      <c r="HG67" s="164">
        <f t="shared" si="189"/>
        <v>0</v>
      </c>
      <c r="HH67" s="164">
        <f>HP67-GV67</f>
        <v>0</v>
      </c>
      <c r="HI67" s="164"/>
      <c r="HJ67" s="164"/>
      <c r="HK67" s="164">
        <f>HL67</f>
        <v>0</v>
      </c>
      <c r="HL67" s="164">
        <f>IF67-GZ67</f>
        <v>0</v>
      </c>
      <c r="HM67" s="164"/>
      <c r="HN67" s="164"/>
      <c r="HO67" s="164">
        <f t="shared" si="153"/>
        <v>562663.4</v>
      </c>
      <c r="HP67" s="164">
        <f>GV67</f>
        <v>562663.4</v>
      </c>
      <c r="HQ67" s="164"/>
      <c r="HR67" s="164"/>
      <c r="HS67" s="164">
        <f t="shared" si="154"/>
        <v>562663.4</v>
      </c>
      <c r="HT67" s="164">
        <v>562663.4</v>
      </c>
      <c r="HU67" s="164"/>
      <c r="HV67" s="164"/>
      <c r="HW67" s="164">
        <f>HX67</f>
        <v>0</v>
      </c>
      <c r="HX67" s="164">
        <f>IR67-HL67</f>
        <v>0</v>
      </c>
      <c r="HY67" s="164"/>
      <c r="HZ67" s="164"/>
      <c r="IA67" s="164">
        <f t="shared" si="155"/>
        <v>562663.4</v>
      </c>
      <c r="IB67" s="164">
        <v>562663.4</v>
      </c>
      <c r="IC67" s="164"/>
      <c r="ID67" s="164"/>
      <c r="IE67" s="185"/>
      <c r="IF67" s="170"/>
      <c r="IG67" s="170"/>
      <c r="IH67" s="170"/>
    </row>
    <row r="68" spans="2:242" s="171" customFormat="1" ht="31.5" hidden="1" customHeight="1" x14ac:dyDescent="0.25">
      <c r="B68" s="160"/>
      <c r="C68" s="161" t="s">
        <v>172</v>
      </c>
      <c r="D68" s="162" t="s">
        <v>149</v>
      </c>
      <c r="E68" s="163">
        <f t="shared" si="156"/>
        <v>0</v>
      </c>
      <c r="F68" s="163"/>
      <c r="G68" s="163"/>
      <c r="H68" s="163">
        <f t="shared" si="157"/>
        <v>0</v>
      </c>
      <c r="I68" s="163">
        <f>L68-F68</f>
        <v>0</v>
      </c>
      <c r="J68" s="163"/>
      <c r="K68" s="163">
        <f t="shared" si="158"/>
        <v>0</v>
      </c>
      <c r="L68" s="163"/>
      <c r="M68" s="163"/>
      <c r="N68" s="163">
        <f t="shared" si="159"/>
        <v>0</v>
      </c>
      <c r="O68" s="163">
        <f>R68-L68</f>
        <v>0</v>
      </c>
      <c r="P68" s="163"/>
      <c r="Q68" s="164">
        <f t="shared" si="160"/>
        <v>0</v>
      </c>
      <c r="R68" s="164"/>
      <c r="S68" s="164"/>
      <c r="T68" s="164">
        <f t="shared" si="161"/>
        <v>0</v>
      </c>
      <c r="U68" s="164"/>
      <c r="V68" s="164"/>
      <c r="W68" s="164">
        <f t="shared" si="162"/>
        <v>0</v>
      </c>
      <c r="X68" s="164">
        <f>AA68-U68</f>
        <v>0</v>
      </c>
      <c r="Y68" s="164"/>
      <c r="Z68" s="164">
        <f t="shared" si="145"/>
        <v>0</v>
      </c>
      <c r="AA68" s="164"/>
      <c r="AB68" s="164"/>
      <c r="AC68" s="164">
        <f>AD68+AE68</f>
        <v>0</v>
      </c>
      <c r="AD68" s="164"/>
      <c r="AE68" s="164"/>
      <c r="AF68" s="164">
        <f>AG68+AH68</f>
        <v>0</v>
      </c>
      <c r="AG68" s="164"/>
      <c r="AH68" s="164"/>
      <c r="AI68" s="165">
        <f t="shared" si="164"/>
        <v>0</v>
      </c>
      <c r="AJ68" s="164"/>
      <c r="AK68" s="165">
        <f t="shared" si="165"/>
        <v>0</v>
      </c>
      <c r="AL68" s="165">
        <f t="shared" si="165"/>
        <v>0</v>
      </c>
      <c r="AM68" s="746"/>
      <c r="AN68" s="174"/>
      <c r="AO68" s="166">
        <v>1</v>
      </c>
      <c r="AP68" s="174"/>
      <c r="AQ68" s="174"/>
      <c r="AR68" s="174"/>
      <c r="AS68" s="164">
        <f t="shared" si="166"/>
        <v>1000</v>
      </c>
      <c r="AT68" s="164">
        <v>1000</v>
      </c>
      <c r="AU68" s="164"/>
      <c r="AV68" s="164">
        <f t="shared" si="167"/>
        <v>0</v>
      </c>
      <c r="AW68" s="164">
        <f>AZ68-AT68</f>
        <v>0</v>
      </c>
      <c r="AX68" s="164"/>
      <c r="AY68" s="164">
        <f t="shared" si="168"/>
        <v>1000</v>
      </c>
      <c r="AZ68" s="164">
        <v>1000</v>
      </c>
      <c r="BA68" s="164"/>
      <c r="BB68" s="164">
        <f t="shared" si="169"/>
        <v>50000</v>
      </c>
      <c r="BC68" s="164">
        <v>50000</v>
      </c>
      <c r="BD68" s="164"/>
      <c r="BE68" s="164">
        <f t="shared" si="170"/>
        <v>0</v>
      </c>
      <c r="BF68" s="164">
        <f>BW68-BC68</f>
        <v>0</v>
      </c>
      <c r="BG68" s="164"/>
      <c r="BH68" s="164">
        <f t="shared" si="171"/>
        <v>1000</v>
      </c>
      <c r="BI68" s="164">
        <v>1000</v>
      </c>
      <c r="BJ68" s="164"/>
      <c r="BK68" s="167">
        <v>1</v>
      </c>
      <c r="BL68" s="168">
        <f t="shared" si="146"/>
        <v>1000</v>
      </c>
      <c r="BM68" s="168"/>
      <c r="BN68" s="168"/>
      <c r="BO68" s="168"/>
      <c r="BP68" s="168"/>
      <c r="BQ68" s="168"/>
      <c r="BR68" s="168"/>
      <c r="BS68" s="168">
        <f>BT68+BU68</f>
        <v>1000</v>
      </c>
      <c r="BT68" s="168">
        <f>AZ68-BN68-BQ68</f>
        <v>1000</v>
      </c>
      <c r="BU68" s="168"/>
      <c r="BV68" s="164">
        <f t="shared" si="172"/>
        <v>50000</v>
      </c>
      <c r="BW68" s="164">
        <v>50000</v>
      </c>
      <c r="BX68" s="164"/>
      <c r="BY68" s="164">
        <f t="shared" si="173"/>
        <v>0</v>
      </c>
      <c r="BZ68" s="164">
        <f>CC68-BI68</f>
        <v>0</v>
      </c>
      <c r="CA68" s="164"/>
      <c r="CB68" s="164">
        <f t="shared" si="174"/>
        <v>1000</v>
      </c>
      <c r="CC68" s="164">
        <v>1000</v>
      </c>
      <c r="CD68" s="164"/>
      <c r="CE68" s="168">
        <v>1</v>
      </c>
      <c r="CF68" s="168">
        <f t="shared" si="147"/>
        <v>1000</v>
      </c>
      <c r="CG68" s="164"/>
      <c r="CH68" s="164">
        <f t="shared" si="175"/>
        <v>50000</v>
      </c>
      <c r="CI68" s="164">
        <v>50000</v>
      </c>
      <c r="CJ68" s="164"/>
      <c r="CK68" s="164">
        <f t="shared" si="176"/>
        <v>-50000</v>
      </c>
      <c r="CL68" s="164">
        <f>CR68-CI68</f>
        <v>-50000</v>
      </c>
      <c r="CM68" s="164"/>
      <c r="CN68" s="164"/>
      <c r="CO68" s="164"/>
      <c r="CP68" s="164"/>
      <c r="CQ68" s="164">
        <f t="shared" si="177"/>
        <v>0</v>
      </c>
      <c r="CR68" s="164"/>
      <c r="CS68" s="164"/>
      <c r="CT68" s="164">
        <f t="shared" si="178"/>
        <v>0</v>
      </c>
      <c r="CU68" s="164"/>
      <c r="CV68" s="164"/>
      <c r="CW68" s="164">
        <f t="shared" si="118"/>
        <v>2774.20597</v>
      </c>
      <c r="CX68" s="164">
        <v>2774.20597</v>
      </c>
      <c r="CY68" s="164"/>
      <c r="CZ68" s="164">
        <f t="shared" si="179"/>
        <v>0</v>
      </c>
      <c r="DA68" s="164">
        <v>0</v>
      </c>
      <c r="DB68" s="164"/>
      <c r="DC68" s="164"/>
      <c r="DD68" s="164"/>
      <c r="DE68" s="164"/>
      <c r="DF68" s="164">
        <f t="shared" si="120"/>
        <v>0</v>
      </c>
      <c r="DG68" s="164">
        <f>DJ68-CX68</f>
        <v>0</v>
      </c>
      <c r="DH68" s="164"/>
      <c r="DI68" s="164">
        <f t="shared" si="121"/>
        <v>2774.20597</v>
      </c>
      <c r="DJ68" s="164">
        <f>1000+1274.20597+500</f>
        <v>2774.20597</v>
      </c>
      <c r="DK68" s="164"/>
      <c r="DL68" s="164">
        <f t="shared" si="122"/>
        <v>2274.20597</v>
      </c>
      <c r="DM68" s="164">
        <f>DJ68-500</f>
        <v>2274.20597</v>
      </c>
      <c r="DN68" s="164"/>
      <c r="DO68" s="164">
        <f t="shared" si="180"/>
        <v>0</v>
      </c>
      <c r="DP68" s="164">
        <v>0</v>
      </c>
      <c r="DQ68" s="164"/>
      <c r="DR68" s="164">
        <f t="shared" si="124"/>
        <v>500</v>
      </c>
      <c r="DS68" s="164">
        <f>DJ68-DM68-DP68</f>
        <v>500</v>
      </c>
      <c r="DT68" s="164"/>
      <c r="DU68" s="144">
        <f t="shared" si="181"/>
        <v>0</v>
      </c>
      <c r="DV68" s="164">
        <v>0</v>
      </c>
      <c r="DW68" s="164"/>
      <c r="DX68" s="164">
        <f t="shared" si="182"/>
        <v>0</v>
      </c>
      <c r="DY68" s="164">
        <v>0</v>
      </c>
      <c r="DZ68" s="164"/>
      <c r="EA68" s="164"/>
      <c r="EB68" s="164"/>
      <c r="EC68" s="164"/>
      <c r="ED68" s="164"/>
      <c r="EE68" s="164"/>
      <c r="EF68" s="164"/>
      <c r="EG68" s="164">
        <f t="shared" si="148"/>
        <v>8336.6</v>
      </c>
      <c r="EH68" s="164">
        <v>8336.6</v>
      </c>
      <c r="EI68" s="164"/>
      <c r="EJ68" s="164"/>
      <c r="EK68" s="164">
        <f t="shared" si="186"/>
        <v>0</v>
      </c>
      <c r="EL68" s="164"/>
      <c r="EM68" s="164"/>
      <c r="EN68" s="164"/>
      <c r="EO68" s="164">
        <f t="shared" si="183"/>
        <v>0</v>
      </c>
      <c r="EP68" s="164"/>
      <c r="EQ68" s="164"/>
      <c r="ER68" s="164"/>
      <c r="ES68" s="164">
        <f>ET68+EV68</f>
        <v>0</v>
      </c>
      <c r="ET68" s="164"/>
      <c r="EU68" s="164"/>
      <c r="EV68" s="164"/>
      <c r="EW68" s="144">
        <f t="shared" si="184"/>
        <v>0</v>
      </c>
      <c r="EX68" s="164">
        <v>0</v>
      </c>
      <c r="EY68" s="164"/>
      <c r="EZ68" s="164"/>
      <c r="FA68" s="164"/>
      <c r="FB68" s="164"/>
      <c r="FC68" s="163">
        <f t="shared" si="150"/>
        <v>11734.81473</v>
      </c>
      <c r="FD68" s="163">
        <v>11734.81473</v>
      </c>
      <c r="FE68" s="163"/>
      <c r="FF68" s="163"/>
      <c r="FG68" s="163">
        <f t="shared" si="187"/>
        <v>3398.2147299999997</v>
      </c>
      <c r="FH68" s="163">
        <f>FP68-FD68</f>
        <v>3398.2147299999997</v>
      </c>
      <c r="FI68" s="163"/>
      <c r="FJ68" s="163"/>
      <c r="FK68" s="163">
        <f t="shared" si="185"/>
        <v>0</v>
      </c>
      <c r="FL68" s="163"/>
      <c r="FM68" s="163"/>
      <c r="FN68" s="163"/>
      <c r="FO68" s="163">
        <f t="shared" si="151"/>
        <v>15133.02946</v>
      </c>
      <c r="FP68" s="163">
        <f>FD68+3398.21473</f>
        <v>15133.02946</v>
      </c>
      <c r="FQ68" s="163"/>
      <c r="FR68" s="163"/>
      <c r="FS68" s="90">
        <f>FU68</f>
        <v>10335.88543</v>
      </c>
      <c r="FT68" s="518">
        <f t="shared" si="81"/>
        <v>0.88078812216577707</v>
      </c>
      <c r="FU68" s="90">
        <v>10335.88543</v>
      </c>
      <c r="FV68" s="518">
        <f t="shared" si="82"/>
        <v>0.88078812216577707</v>
      </c>
      <c r="FW68" s="87"/>
      <c r="FX68" s="665"/>
      <c r="FY68" s="90"/>
      <c r="FZ68" s="665"/>
      <c r="GA68" s="90">
        <f t="shared" si="83"/>
        <v>10335.88543</v>
      </c>
      <c r="GB68" s="518">
        <f t="shared" si="84"/>
        <v>0.88078812216577707</v>
      </c>
      <c r="GC68" s="90">
        <v>10335.88543</v>
      </c>
      <c r="GD68" s="518">
        <f t="shared" si="85"/>
        <v>0.88078812216577707</v>
      </c>
      <c r="GE68" s="87"/>
      <c r="GF68" s="515"/>
      <c r="GG68" s="87"/>
      <c r="GH68" s="515"/>
      <c r="GI68" s="90">
        <f>GK68+GM68+GO68</f>
        <v>11685.153910000001</v>
      </c>
      <c r="GJ68" s="518">
        <f t="shared" si="86"/>
        <v>0.99576807805298861</v>
      </c>
      <c r="GK68" s="90">
        <v>11685.153910000001</v>
      </c>
      <c r="GL68" s="518">
        <f t="shared" si="87"/>
        <v>0.99576807805298861</v>
      </c>
      <c r="GM68" s="90"/>
      <c r="GN68" s="518"/>
      <c r="GO68" s="90"/>
      <c r="GP68" s="518"/>
      <c r="GQ68" s="164"/>
      <c r="GR68" s="164"/>
      <c r="GS68" s="164"/>
      <c r="GT68" s="164"/>
      <c r="GU68" s="164">
        <f t="shared" si="152"/>
        <v>8336.6</v>
      </c>
      <c r="GV68" s="164">
        <v>8336.6</v>
      </c>
      <c r="GW68" s="164"/>
      <c r="GX68" s="164"/>
      <c r="GY68" s="164"/>
      <c r="GZ68" s="164"/>
      <c r="HA68" s="164"/>
      <c r="HB68" s="164"/>
      <c r="HC68" s="164"/>
      <c r="HD68" s="164"/>
      <c r="HE68" s="164"/>
      <c r="HF68" s="164"/>
      <c r="HG68" s="164"/>
      <c r="HH68" s="164"/>
      <c r="HI68" s="164"/>
      <c r="HJ68" s="164"/>
      <c r="HK68" s="164"/>
      <c r="HL68" s="164"/>
      <c r="HM68" s="164"/>
      <c r="HN68" s="164"/>
      <c r="HO68" s="164">
        <f t="shared" si="153"/>
        <v>8336.6</v>
      </c>
      <c r="HP68" s="164">
        <f>GV68</f>
        <v>8336.6</v>
      </c>
      <c r="HQ68" s="164"/>
      <c r="HR68" s="164"/>
      <c r="HS68" s="164">
        <f t="shared" si="154"/>
        <v>8336.6</v>
      </c>
      <c r="HT68" s="164">
        <v>8336.6</v>
      </c>
      <c r="HU68" s="164"/>
      <c r="HV68" s="164"/>
      <c r="HW68" s="164"/>
      <c r="HX68" s="164"/>
      <c r="HY68" s="164"/>
      <c r="HZ68" s="164"/>
      <c r="IA68" s="164">
        <f t="shared" si="155"/>
        <v>8336.6</v>
      </c>
      <c r="IB68" s="164">
        <v>8336.6</v>
      </c>
      <c r="IC68" s="164"/>
      <c r="ID68" s="164"/>
      <c r="IE68" s="185"/>
      <c r="IF68" s="170"/>
      <c r="IG68" s="170"/>
      <c r="IH68" s="170"/>
    </row>
    <row r="69" spans="2:242" s="127" customFormat="1" ht="46.5" customHeight="1" x14ac:dyDescent="0.25">
      <c r="B69" s="115"/>
      <c r="C69" s="116" t="s">
        <v>132</v>
      </c>
      <c r="D69" s="117"/>
      <c r="E69" s="118"/>
      <c r="F69" s="118"/>
      <c r="G69" s="118"/>
      <c r="H69" s="118"/>
      <c r="I69" s="118"/>
      <c r="J69" s="118"/>
      <c r="K69" s="118"/>
      <c r="L69" s="118"/>
      <c r="M69" s="118"/>
      <c r="N69" s="118"/>
      <c r="O69" s="118"/>
      <c r="P69" s="118"/>
      <c r="Q69" s="119"/>
      <c r="R69" s="119"/>
      <c r="S69" s="119"/>
      <c r="T69" s="119"/>
      <c r="U69" s="119"/>
      <c r="V69" s="119"/>
      <c r="W69" s="119"/>
      <c r="X69" s="119"/>
      <c r="Y69" s="119"/>
      <c r="Z69" s="119"/>
      <c r="AA69" s="119"/>
      <c r="AB69" s="119"/>
      <c r="AC69" s="119"/>
      <c r="AD69" s="119"/>
      <c r="AE69" s="119"/>
      <c r="AF69" s="119"/>
      <c r="AG69" s="119"/>
      <c r="AH69" s="119"/>
      <c r="AI69" s="120"/>
      <c r="AJ69" s="119"/>
      <c r="AK69" s="119"/>
      <c r="AL69" s="119"/>
      <c r="AM69" s="648"/>
      <c r="AN69" s="119"/>
      <c r="AO69" s="122"/>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23"/>
      <c r="BL69" s="124"/>
      <c r="BM69" s="124"/>
      <c r="BN69" s="124"/>
      <c r="BO69" s="124"/>
      <c r="BP69" s="124"/>
      <c r="BQ69" s="124"/>
      <c r="BR69" s="124"/>
      <c r="BS69" s="124"/>
      <c r="BT69" s="124"/>
      <c r="BU69" s="124"/>
      <c r="BV69" s="119"/>
      <c r="BW69" s="119"/>
      <c r="BX69" s="119"/>
      <c r="BY69" s="119"/>
      <c r="BZ69" s="119"/>
      <c r="CA69" s="119"/>
      <c r="CB69" s="119"/>
      <c r="CC69" s="119"/>
      <c r="CD69" s="119"/>
      <c r="CE69" s="124"/>
      <c r="CF69" s="124"/>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f>EH69</f>
        <v>234000</v>
      </c>
      <c r="EH69" s="119">
        <v>234000</v>
      </c>
      <c r="EI69" s="119"/>
      <c r="EJ69" s="119"/>
      <c r="EK69" s="119">
        <f>EL69+EN69</f>
        <v>0</v>
      </c>
      <c r="EL69" s="119"/>
      <c r="EM69" s="119"/>
      <c r="EN69" s="119"/>
      <c r="EO69" s="119"/>
      <c r="EP69" s="119"/>
      <c r="EQ69" s="119"/>
      <c r="ER69" s="119"/>
      <c r="ES69" s="119">
        <f>ET69</f>
        <v>0</v>
      </c>
      <c r="ET69" s="119">
        <v>0</v>
      </c>
      <c r="EU69" s="119"/>
      <c r="EV69" s="119"/>
      <c r="EW69" s="119"/>
      <c r="EX69" s="119"/>
      <c r="EY69" s="119"/>
      <c r="EZ69" s="119"/>
      <c r="FA69" s="119"/>
      <c r="FB69" s="119"/>
      <c r="FC69" s="118">
        <f>FD69</f>
        <v>700000</v>
      </c>
      <c r="FD69" s="118">
        <v>700000</v>
      </c>
      <c r="FE69" s="118"/>
      <c r="FF69" s="118"/>
      <c r="FG69" s="118">
        <f>FH69+FJ69</f>
        <v>-466000</v>
      </c>
      <c r="FH69" s="118">
        <f>FP69-FD69</f>
        <v>-466000</v>
      </c>
      <c r="FI69" s="118"/>
      <c r="FJ69" s="118"/>
      <c r="FK69" s="118"/>
      <c r="FL69" s="118"/>
      <c r="FM69" s="118"/>
      <c r="FN69" s="118"/>
      <c r="FO69" s="118">
        <f>FP69</f>
        <v>234000</v>
      </c>
      <c r="FP69" s="118">
        <v>234000</v>
      </c>
      <c r="FQ69" s="118"/>
      <c r="FR69" s="118"/>
      <c r="FS69" s="74">
        <f>FU69</f>
        <v>358554.00316000002</v>
      </c>
      <c r="FT69" s="487">
        <f>FS69/FC69</f>
        <v>0.51222000451428573</v>
      </c>
      <c r="FU69" s="74">
        <v>358554.00316000002</v>
      </c>
      <c r="FV69" s="487">
        <f>FU69/FD69</f>
        <v>0.51222000451428573</v>
      </c>
      <c r="FW69" s="73"/>
      <c r="FX69" s="662"/>
      <c r="FY69" s="74"/>
      <c r="FZ69" s="662"/>
      <c r="GA69" s="74">
        <f>GC69+GE69+GG69</f>
        <v>358554.00316000002</v>
      </c>
      <c r="GB69" s="487">
        <f>GA69/FC69</f>
        <v>0.51222000451428573</v>
      </c>
      <c r="GC69" s="74">
        <v>358554.00316000002</v>
      </c>
      <c r="GD69" s="487">
        <f>GC69/FD69</f>
        <v>0.51222000451428573</v>
      </c>
      <c r="GE69" s="73"/>
      <c r="GF69" s="513"/>
      <c r="GG69" s="73"/>
      <c r="GH69" s="513"/>
      <c r="GI69" s="74">
        <f>GK69</f>
        <v>700000</v>
      </c>
      <c r="GJ69" s="487">
        <f>GI69/FC69</f>
        <v>1</v>
      </c>
      <c r="GK69" s="74">
        <v>700000</v>
      </c>
      <c r="GL69" s="487">
        <f>GK69/FD69</f>
        <v>1</v>
      </c>
      <c r="GM69" s="74"/>
      <c r="GN69" s="487"/>
      <c r="GO69" s="74"/>
      <c r="GP69" s="487"/>
      <c r="GQ69" s="119"/>
      <c r="GR69" s="119"/>
      <c r="GS69" s="119"/>
      <c r="GT69" s="119"/>
      <c r="GU69" s="119">
        <f>GV69</f>
        <v>217000</v>
      </c>
      <c r="GV69" s="119">
        <v>217000</v>
      </c>
      <c r="GW69" s="119"/>
      <c r="GX69" s="119"/>
      <c r="GY69" s="119"/>
      <c r="GZ69" s="119"/>
      <c r="HA69" s="119"/>
      <c r="HB69" s="119"/>
      <c r="HC69" s="119"/>
      <c r="HD69" s="119"/>
      <c r="HE69" s="119"/>
      <c r="HF69" s="119"/>
      <c r="HG69" s="119">
        <f>HH69+HJ69</f>
        <v>0</v>
      </c>
      <c r="HH69" s="119">
        <v>0</v>
      </c>
      <c r="HI69" s="119"/>
      <c r="HJ69" s="119"/>
      <c r="HK69" s="119"/>
      <c r="HL69" s="119"/>
      <c r="HM69" s="119"/>
      <c r="HN69" s="119"/>
      <c r="HO69" s="119">
        <f>HP69</f>
        <v>217000</v>
      </c>
      <c r="HP69" s="119">
        <v>217000</v>
      </c>
      <c r="HQ69" s="119"/>
      <c r="HR69" s="119"/>
      <c r="HS69" s="119">
        <f>HT69</f>
        <v>0</v>
      </c>
      <c r="HT69" s="119">
        <v>0</v>
      </c>
      <c r="HU69" s="119"/>
      <c r="HV69" s="119"/>
      <c r="HW69" s="119">
        <f>HX69</f>
        <v>328970</v>
      </c>
      <c r="HX69" s="119">
        <f>IB69-HT69</f>
        <v>328970</v>
      </c>
      <c r="HY69" s="119"/>
      <c r="HZ69" s="119"/>
      <c r="IA69" s="119">
        <f>IB69</f>
        <v>328970</v>
      </c>
      <c r="IB69" s="119">
        <v>328970</v>
      </c>
      <c r="IC69" s="119"/>
      <c r="ID69" s="119"/>
      <c r="IE69" s="125"/>
      <c r="IF69" s="126"/>
      <c r="IG69" s="126"/>
      <c r="IH69" s="126"/>
    </row>
    <row r="70" spans="2:242" s="194" customFormat="1" ht="85.5" hidden="1" customHeight="1" x14ac:dyDescent="0.25">
      <c r="B70" s="178" t="s">
        <v>173</v>
      </c>
      <c r="C70" s="101" t="s">
        <v>174</v>
      </c>
      <c r="D70" s="187"/>
      <c r="E70" s="188"/>
      <c r="F70" s="188"/>
      <c r="G70" s="188"/>
      <c r="H70" s="188"/>
      <c r="I70" s="188"/>
      <c r="J70" s="188"/>
      <c r="K70" s="188"/>
      <c r="L70" s="188"/>
      <c r="M70" s="188"/>
      <c r="N70" s="188"/>
      <c r="O70" s="188"/>
      <c r="P70" s="188"/>
      <c r="Q70" s="189"/>
      <c r="R70" s="189"/>
      <c r="S70" s="189"/>
      <c r="T70" s="189"/>
      <c r="U70" s="189"/>
      <c r="V70" s="189"/>
      <c r="W70" s="189"/>
      <c r="X70" s="189"/>
      <c r="Y70" s="189"/>
      <c r="Z70" s="189"/>
      <c r="AA70" s="189"/>
      <c r="AB70" s="189"/>
      <c r="AC70" s="189"/>
      <c r="AD70" s="189"/>
      <c r="AE70" s="189"/>
      <c r="AF70" s="189"/>
      <c r="AG70" s="189"/>
      <c r="AH70" s="189"/>
      <c r="AI70" s="182"/>
      <c r="AJ70" s="189"/>
      <c r="AK70" s="182"/>
      <c r="AL70" s="182"/>
      <c r="AM70" s="190"/>
      <c r="AN70" s="191"/>
      <c r="AO70" s="109"/>
      <c r="AP70" s="191"/>
      <c r="AQ70" s="191"/>
      <c r="AR70" s="191"/>
      <c r="AS70" s="189"/>
      <c r="AT70" s="189"/>
      <c r="AU70" s="189"/>
      <c r="AV70" s="189"/>
      <c r="AW70" s="189"/>
      <c r="AX70" s="189"/>
      <c r="AY70" s="189"/>
      <c r="AZ70" s="189"/>
      <c r="BA70" s="189"/>
      <c r="BB70" s="189"/>
      <c r="BC70" s="189"/>
      <c r="BD70" s="189"/>
      <c r="BE70" s="189"/>
      <c r="BF70" s="189"/>
      <c r="BG70" s="189"/>
      <c r="BH70" s="189"/>
      <c r="BI70" s="189"/>
      <c r="BJ70" s="189"/>
      <c r="BK70" s="110"/>
      <c r="BL70" s="106"/>
      <c r="BM70" s="106"/>
      <c r="BN70" s="106"/>
      <c r="BO70" s="106"/>
      <c r="BP70" s="106"/>
      <c r="BQ70" s="106"/>
      <c r="BR70" s="106"/>
      <c r="BS70" s="106"/>
      <c r="BT70" s="106"/>
      <c r="BU70" s="106"/>
      <c r="BV70" s="189"/>
      <c r="BW70" s="189"/>
      <c r="BX70" s="189"/>
      <c r="BY70" s="189"/>
      <c r="BZ70" s="192"/>
      <c r="CA70" s="189"/>
      <c r="CB70" s="189"/>
      <c r="CC70" s="189"/>
      <c r="CD70" s="189"/>
      <c r="CE70" s="106"/>
      <c r="CF70" s="106"/>
      <c r="CG70" s="189"/>
      <c r="CH70" s="189"/>
      <c r="CI70" s="189"/>
      <c r="CJ70" s="189"/>
      <c r="CK70" s="189"/>
      <c r="CL70" s="189"/>
      <c r="CM70" s="189"/>
      <c r="CN70" s="189"/>
      <c r="CO70" s="189"/>
      <c r="CP70" s="189"/>
      <c r="CQ70" s="189"/>
      <c r="CR70" s="189"/>
      <c r="CS70" s="189"/>
      <c r="CT70" s="189"/>
      <c r="CU70" s="192"/>
      <c r="CV70" s="189"/>
      <c r="CW70" s="105">
        <f t="shared" si="118"/>
        <v>0</v>
      </c>
      <c r="CX70" s="106">
        <f>SUM(CX71:CX72)</f>
        <v>0</v>
      </c>
      <c r="CY70" s="106"/>
      <c r="CZ70" s="105">
        <f t="shared" si="179"/>
        <v>50000</v>
      </c>
      <c r="DA70" s="106">
        <f>SUM(DA71:DA72)</f>
        <v>50000</v>
      </c>
      <c r="DB70" s="106">
        <f>SUM(DB71:DB72)</f>
        <v>0</v>
      </c>
      <c r="DC70" s="106"/>
      <c r="DD70" s="106"/>
      <c r="DE70" s="106"/>
      <c r="DF70" s="105">
        <f t="shared" si="120"/>
        <v>0</v>
      </c>
      <c r="DG70" s="106">
        <f>SUM(DG71:DG72)</f>
        <v>0</v>
      </c>
      <c r="DH70" s="106">
        <f>SUM(DH71:DH72)</f>
        <v>0</v>
      </c>
      <c r="DI70" s="105">
        <f t="shared" si="121"/>
        <v>0</v>
      </c>
      <c r="DJ70" s="106">
        <f>SUM(DJ71:DJ72)</f>
        <v>0</v>
      </c>
      <c r="DK70" s="106">
        <f>SUM(DK71:DK72)</f>
        <v>0</v>
      </c>
      <c r="DL70" s="105">
        <f t="shared" si="122"/>
        <v>0</v>
      </c>
      <c r="DM70" s="106">
        <f>SUM(DM71:DM72)</f>
        <v>0</v>
      </c>
      <c r="DN70" s="106">
        <f>SUM(DN71:DN72)</f>
        <v>0</v>
      </c>
      <c r="DO70" s="105">
        <f t="shared" si="180"/>
        <v>0</v>
      </c>
      <c r="DP70" s="106">
        <f>SUM(DP71:DP72)</f>
        <v>0</v>
      </c>
      <c r="DQ70" s="106">
        <f>SUM(DQ71:DQ72)</f>
        <v>0</v>
      </c>
      <c r="DR70" s="105">
        <f t="shared" si="124"/>
        <v>0</v>
      </c>
      <c r="DS70" s="106">
        <f>SUM(DS71:DS72)</f>
        <v>0</v>
      </c>
      <c r="DT70" s="106">
        <f>SUM(DT71:DT72)</f>
        <v>0</v>
      </c>
      <c r="DU70" s="105">
        <f t="shared" si="181"/>
        <v>0</v>
      </c>
      <c r="DV70" s="105">
        <v>0</v>
      </c>
      <c r="DW70" s="105">
        <v>0</v>
      </c>
      <c r="DX70" s="189"/>
      <c r="DY70" s="189"/>
      <c r="DZ70" s="189"/>
      <c r="EA70" s="189"/>
      <c r="EB70" s="189"/>
      <c r="EC70" s="189"/>
      <c r="ED70" s="189"/>
      <c r="EE70" s="189"/>
      <c r="EF70" s="189"/>
      <c r="EG70" s="164">
        <f t="shared" si="148"/>
        <v>0</v>
      </c>
      <c r="EH70" s="189"/>
      <c r="EI70" s="189"/>
      <c r="EJ70" s="189"/>
      <c r="EK70" s="189"/>
      <c r="EL70" s="189"/>
      <c r="EM70" s="189"/>
      <c r="EN70" s="189"/>
      <c r="EO70" s="189"/>
      <c r="EP70" s="189"/>
      <c r="EQ70" s="189"/>
      <c r="ER70" s="189"/>
      <c r="ES70" s="192"/>
      <c r="ET70" s="192"/>
      <c r="EU70" s="189"/>
      <c r="EV70" s="189"/>
      <c r="EW70" s="105">
        <f t="shared" si="184"/>
        <v>0</v>
      </c>
      <c r="EX70" s="105">
        <v>0</v>
      </c>
      <c r="EY70" s="105">
        <v>0</v>
      </c>
      <c r="EZ70" s="189"/>
      <c r="FA70" s="189"/>
      <c r="FB70" s="189"/>
      <c r="FC70" s="188"/>
      <c r="FD70" s="188"/>
      <c r="FE70" s="188"/>
      <c r="FF70" s="188"/>
      <c r="FG70" s="188"/>
      <c r="FH70" s="188"/>
      <c r="FI70" s="188"/>
      <c r="FJ70" s="188"/>
      <c r="FK70" s="188"/>
      <c r="FL70" s="188"/>
      <c r="FM70" s="188"/>
      <c r="FN70" s="188"/>
      <c r="FO70" s="163">
        <f t="shared" si="151"/>
        <v>0</v>
      </c>
      <c r="FP70" s="188"/>
      <c r="FQ70" s="188"/>
      <c r="FR70" s="188"/>
      <c r="FS70" s="39" t="e">
        <f t="shared" si="57"/>
        <v>#REF!</v>
      </c>
      <c r="FT70" s="485" t="e">
        <f t="shared" si="81"/>
        <v>#REF!</v>
      </c>
      <c r="FU70" s="39">
        <v>0</v>
      </c>
      <c r="FV70" s="485" t="e">
        <f t="shared" si="82"/>
        <v>#DIV/0!</v>
      </c>
      <c r="FW70" s="38" t="e">
        <f>#REF!+FW372</f>
        <v>#REF!</v>
      </c>
      <c r="FX70" s="660" t="e">
        <f t="shared" ref="FX70:FX77" si="191">FW70/FE70</f>
        <v>#REF!</v>
      </c>
      <c r="FY70" s="39" t="e">
        <f>#REF!+FY372</f>
        <v>#REF!</v>
      </c>
      <c r="FZ70" s="660" t="e">
        <f t="shared" ref="FZ70:FZ77" si="192">FY70/FF70</f>
        <v>#REF!</v>
      </c>
      <c r="GA70" s="39">
        <f t="shared" si="83"/>
        <v>0</v>
      </c>
      <c r="GB70" s="485" t="e">
        <f t="shared" si="84"/>
        <v>#DIV/0!</v>
      </c>
      <c r="GC70" s="39">
        <v>0</v>
      </c>
      <c r="GD70" s="485" t="e">
        <f t="shared" si="85"/>
        <v>#DIV/0!</v>
      </c>
      <c r="GE70" s="82"/>
      <c r="GF70" s="498"/>
      <c r="GG70" s="82"/>
      <c r="GH70" s="498"/>
      <c r="GI70" s="90"/>
      <c r="GJ70" s="485"/>
      <c r="GK70" s="90"/>
      <c r="GL70" s="485"/>
      <c r="GM70" s="90"/>
      <c r="GN70" s="485"/>
      <c r="GO70" s="90"/>
      <c r="GP70" s="485"/>
      <c r="GQ70" s="189"/>
      <c r="GR70" s="189"/>
      <c r="GS70" s="189"/>
      <c r="GT70" s="189"/>
      <c r="GU70" s="189"/>
      <c r="GV70" s="189"/>
      <c r="GW70" s="189"/>
      <c r="GX70" s="189"/>
      <c r="GY70" s="189"/>
      <c r="GZ70" s="189"/>
      <c r="HA70" s="189"/>
      <c r="HB70" s="189"/>
      <c r="HC70" s="189"/>
      <c r="HD70" s="189"/>
      <c r="HE70" s="189"/>
      <c r="HF70" s="189"/>
      <c r="HG70" s="189"/>
      <c r="HH70" s="189"/>
      <c r="HI70" s="189"/>
      <c r="HJ70" s="189"/>
      <c r="HK70" s="189"/>
      <c r="HL70" s="189"/>
      <c r="HM70" s="189"/>
      <c r="HN70" s="189"/>
      <c r="HO70" s="189"/>
      <c r="HP70" s="189"/>
      <c r="HQ70" s="189"/>
      <c r="HR70" s="189"/>
      <c r="HS70" s="189"/>
      <c r="HT70" s="189"/>
      <c r="HU70" s="189"/>
      <c r="HV70" s="189"/>
      <c r="HW70" s="189"/>
      <c r="HX70" s="189"/>
      <c r="HY70" s="189"/>
      <c r="HZ70" s="189"/>
      <c r="IA70" s="189"/>
      <c r="IB70" s="189"/>
      <c r="IC70" s="189"/>
      <c r="ID70" s="189"/>
      <c r="IE70" s="169"/>
      <c r="IF70" s="193"/>
      <c r="IG70" s="193"/>
      <c r="IH70" s="193"/>
    </row>
    <row r="71" spans="2:242" s="171" customFormat="1" ht="15" hidden="1" customHeight="1" x14ac:dyDescent="0.25">
      <c r="B71" s="160"/>
      <c r="C71" s="161" t="s">
        <v>146</v>
      </c>
      <c r="D71" s="162"/>
      <c r="E71" s="163"/>
      <c r="F71" s="163"/>
      <c r="G71" s="163"/>
      <c r="H71" s="163"/>
      <c r="I71" s="163"/>
      <c r="J71" s="163"/>
      <c r="K71" s="163"/>
      <c r="L71" s="163"/>
      <c r="M71" s="163"/>
      <c r="N71" s="163"/>
      <c r="O71" s="163"/>
      <c r="P71" s="163"/>
      <c r="Q71" s="164"/>
      <c r="R71" s="164"/>
      <c r="S71" s="164"/>
      <c r="T71" s="164"/>
      <c r="U71" s="164"/>
      <c r="V71" s="164"/>
      <c r="W71" s="164"/>
      <c r="X71" s="164"/>
      <c r="Y71" s="164"/>
      <c r="Z71" s="164"/>
      <c r="AA71" s="164"/>
      <c r="AB71" s="164"/>
      <c r="AC71" s="164"/>
      <c r="AD71" s="164"/>
      <c r="AE71" s="164"/>
      <c r="AF71" s="164"/>
      <c r="AG71" s="164"/>
      <c r="AH71" s="164"/>
      <c r="AI71" s="165"/>
      <c r="AJ71" s="164"/>
      <c r="AK71" s="165"/>
      <c r="AL71" s="165"/>
      <c r="AM71" s="175"/>
      <c r="AN71" s="174"/>
      <c r="AO71" s="166"/>
      <c r="AP71" s="174"/>
      <c r="AQ71" s="174"/>
      <c r="AR71" s="174"/>
      <c r="AS71" s="164"/>
      <c r="AT71" s="164"/>
      <c r="AU71" s="164"/>
      <c r="AV71" s="164"/>
      <c r="AW71" s="164"/>
      <c r="AX71" s="164"/>
      <c r="AY71" s="164"/>
      <c r="AZ71" s="164"/>
      <c r="BA71" s="164"/>
      <c r="BB71" s="164"/>
      <c r="BC71" s="164"/>
      <c r="BD71" s="164"/>
      <c r="BE71" s="164"/>
      <c r="BF71" s="164"/>
      <c r="BG71" s="164"/>
      <c r="BH71" s="164"/>
      <c r="BI71" s="164"/>
      <c r="BJ71" s="164"/>
      <c r="BK71" s="167"/>
      <c r="BL71" s="168"/>
      <c r="BM71" s="168"/>
      <c r="BN71" s="168"/>
      <c r="BO71" s="168"/>
      <c r="BP71" s="168"/>
      <c r="BQ71" s="168"/>
      <c r="BR71" s="168"/>
      <c r="BS71" s="168"/>
      <c r="BT71" s="168"/>
      <c r="BU71" s="168"/>
      <c r="BV71" s="164"/>
      <c r="BW71" s="164"/>
      <c r="BX71" s="164"/>
      <c r="BY71" s="164"/>
      <c r="BZ71" s="164"/>
      <c r="CA71" s="164"/>
      <c r="CB71" s="164"/>
      <c r="CC71" s="164"/>
      <c r="CD71" s="164"/>
      <c r="CE71" s="168"/>
      <c r="CF71" s="168"/>
      <c r="CG71" s="164"/>
      <c r="CH71" s="164"/>
      <c r="CI71" s="164"/>
      <c r="CJ71" s="164"/>
      <c r="CK71" s="164"/>
      <c r="CL71" s="164"/>
      <c r="CM71" s="164"/>
      <c r="CN71" s="164"/>
      <c r="CO71" s="164"/>
      <c r="CP71" s="164"/>
      <c r="CQ71" s="164"/>
      <c r="CR71" s="164"/>
      <c r="CS71" s="164"/>
      <c r="CT71" s="164"/>
      <c r="CU71" s="164"/>
      <c r="CV71" s="164"/>
      <c r="CW71" s="164">
        <f t="shared" si="118"/>
        <v>0</v>
      </c>
      <c r="CX71" s="164">
        <v>0</v>
      </c>
      <c r="CY71" s="164"/>
      <c r="CZ71" s="164">
        <f t="shared" si="179"/>
        <v>50000</v>
      </c>
      <c r="DA71" s="164">
        <v>50000</v>
      </c>
      <c r="DB71" s="164"/>
      <c r="DC71" s="164"/>
      <c r="DD71" s="164"/>
      <c r="DE71" s="164"/>
      <c r="DF71" s="164">
        <f t="shared" si="120"/>
        <v>0</v>
      </c>
      <c r="DG71" s="164"/>
      <c r="DH71" s="164"/>
      <c r="DI71" s="164">
        <f t="shared" si="121"/>
        <v>0</v>
      </c>
      <c r="DJ71" s="164"/>
      <c r="DK71" s="164"/>
      <c r="DL71" s="164">
        <f t="shared" si="122"/>
        <v>0</v>
      </c>
      <c r="DM71" s="164"/>
      <c r="DN71" s="164"/>
      <c r="DO71" s="164">
        <f t="shared" si="180"/>
        <v>0</v>
      </c>
      <c r="DP71" s="164"/>
      <c r="DQ71" s="164"/>
      <c r="DR71" s="164">
        <f t="shared" si="124"/>
        <v>0</v>
      </c>
      <c r="DS71" s="164"/>
      <c r="DT71" s="164"/>
      <c r="DU71" s="164"/>
      <c r="DV71" s="164"/>
      <c r="DW71" s="164"/>
      <c r="DX71" s="164"/>
      <c r="DY71" s="164"/>
      <c r="DZ71" s="164"/>
      <c r="EA71" s="164"/>
      <c r="EB71" s="164"/>
      <c r="EC71" s="164"/>
      <c r="ED71" s="164"/>
      <c r="EE71" s="164"/>
      <c r="EF71" s="164"/>
      <c r="EG71" s="164">
        <f t="shared" si="148"/>
        <v>0</v>
      </c>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3"/>
      <c r="FD71" s="163"/>
      <c r="FE71" s="163"/>
      <c r="FF71" s="163"/>
      <c r="FG71" s="163"/>
      <c r="FH71" s="163"/>
      <c r="FI71" s="163"/>
      <c r="FJ71" s="163"/>
      <c r="FK71" s="163"/>
      <c r="FL71" s="163"/>
      <c r="FM71" s="163"/>
      <c r="FN71" s="163"/>
      <c r="FO71" s="163">
        <f t="shared" si="151"/>
        <v>0</v>
      </c>
      <c r="FP71" s="163"/>
      <c r="FQ71" s="163"/>
      <c r="FR71" s="163"/>
      <c r="FS71" s="39" t="e">
        <f t="shared" si="57"/>
        <v>#REF!</v>
      </c>
      <c r="FT71" s="485" t="e">
        <f t="shared" si="81"/>
        <v>#REF!</v>
      </c>
      <c r="FU71" s="39">
        <v>0</v>
      </c>
      <c r="FV71" s="485" t="e">
        <f t="shared" si="82"/>
        <v>#DIV/0!</v>
      </c>
      <c r="FW71" s="38" t="e">
        <f>#REF!+FW373</f>
        <v>#REF!</v>
      </c>
      <c r="FX71" s="660" t="e">
        <f t="shared" si="191"/>
        <v>#REF!</v>
      </c>
      <c r="FY71" s="39" t="e">
        <f>#REF!+FY373</f>
        <v>#REF!</v>
      </c>
      <c r="FZ71" s="660" t="e">
        <f t="shared" si="192"/>
        <v>#REF!</v>
      </c>
      <c r="GA71" s="39">
        <f t="shared" si="83"/>
        <v>0</v>
      </c>
      <c r="GB71" s="485" t="e">
        <f t="shared" si="84"/>
        <v>#DIV/0!</v>
      </c>
      <c r="GC71" s="39">
        <v>0</v>
      </c>
      <c r="GD71" s="485" t="e">
        <f t="shared" si="85"/>
        <v>#DIV/0!</v>
      </c>
      <c r="GE71" s="82"/>
      <c r="GF71" s="498"/>
      <c r="GG71" s="82"/>
      <c r="GH71" s="498"/>
      <c r="GI71" s="90"/>
      <c r="GJ71" s="485"/>
      <c r="GK71" s="90"/>
      <c r="GL71" s="485"/>
      <c r="GM71" s="90"/>
      <c r="GN71" s="485"/>
      <c r="GO71" s="90"/>
      <c r="GP71" s="485"/>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c r="HX71" s="164"/>
      <c r="HY71" s="164"/>
      <c r="HZ71" s="164"/>
      <c r="IA71" s="164"/>
      <c r="IB71" s="164"/>
      <c r="IC71" s="164"/>
      <c r="ID71" s="164"/>
      <c r="IE71" s="169"/>
      <c r="IF71" s="170"/>
      <c r="IG71" s="170"/>
      <c r="IH71" s="170"/>
    </row>
    <row r="72" spans="2:242" s="171" customFormat="1" ht="15" hidden="1" customHeight="1" x14ac:dyDescent="0.25">
      <c r="B72" s="160"/>
      <c r="C72" s="161" t="s">
        <v>172</v>
      </c>
      <c r="D72" s="162"/>
      <c r="E72" s="163"/>
      <c r="F72" s="163"/>
      <c r="G72" s="163"/>
      <c r="H72" s="163"/>
      <c r="I72" s="163"/>
      <c r="J72" s="163"/>
      <c r="K72" s="163"/>
      <c r="L72" s="163"/>
      <c r="M72" s="163"/>
      <c r="N72" s="163"/>
      <c r="O72" s="163"/>
      <c r="P72" s="163"/>
      <c r="Q72" s="164"/>
      <c r="R72" s="164"/>
      <c r="S72" s="164"/>
      <c r="T72" s="164"/>
      <c r="U72" s="164"/>
      <c r="V72" s="164"/>
      <c r="W72" s="164"/>
      <c r="X72" s="164"/>
      <c r="Y72" s="164"/>
      <c r="Z72" s="164"/>
      <c r="AA72" s="164"/>
      <c r="AB72" s="164"/>
      <c r="AC72" s="164"/>
      <c r="AD72" s="164"/>
      <c r="AE72" s="164"/>
      <c r="AF72" s="164"/>
      <c r="AG72" s="164"/>
      <c r="AH72" s="164"/>
      <c r="AI72" s="165"/>
      <c r="AJ72" s="164"/>
      <c r="AK72" s="165"/>
      <c r="AL72" s="165"/>
      <c r="AM72" s="175"/>
      <c r="AN72" s="174"/>
      <c r="AO72" s="166"/>
      <c r="AP72" s="174"/>
      <c r="AQ72" s="174"/>
      <c r="AR72" s="174"/>
      <c r="AS72" s="164"/>
      <c r="AT72" s="164"/>
      <c r="AU72" s="164"/>
      <c r="AV72" s="164"/>
      <c r="AW72" s="164"/>
      <c r="AX72" s="164"/>
      <c r="AY72" s="164"/>
      <c r="AZ72" s="164"/>
      <c r="BA72" s="164"/>
      <c r="BB72" s="164"/>
      <c r="BC72" s="164"/>
      <c r="BD72" s="164"/>
      <c r="BE72" s="164"/>
      <c r="BF72" s="164"/>
      <c r="BG72" s="164"/>
      <c r="BH72" s="164"/>
      <c r="BI72" s="164"/>
      <c r="BJ72" s="164"/>
      <c r="BK72" s="167"/>
      <c r="BL72" s="168"/>
      <c r="BM72" s="168"/>
      <c r="BN72" s="168"/>
      <c r="BO72" s="168"/>
      <c r="BP72" s="168"/>
      <c r="BQ72" s="168"/>
      <c r="BR72" s="168"/>
      <c r="BS72" s="168"/>
      <c r="BT72" s="168"/>
      <c r="BU72" s="168"/>
      <c r="BV72" s="164"/>
      <c r="BW72" s="164"/>
      <c r="BX72" s="164"/>
      <c r="BY72" s="164"/>
      <c r="BZ72" s="164"/>
      <c r="CA72" s="164"/>
      <c r="CB72" s="164"/>
      <c r="CC72" s="164"/>
      <c r="CD72" s="164"/>
      <c r="CE72" s="168"/>
      <c r="CF72" s="168"/>
      <c r="CG72" s="164"/>
      <c r="CH72" s="164"/>
      <c r="CI72" s="164"/>
      <c r="CJ72" s="164"/>
      <c r="CK72" s="164"/>
      <c r="CL72" s="164"/>
      <c r="CM72" s="164"/>
      <c r="CN72" s="164"/>
      <c r="CO72" s="164"/>
      <c r="CP72" s="164"/>
      <c r="CQ72" s="164"/>
      <c r="CR72" s="164"/>
      <c r="CS72" s="164"/>
      <c r="CT72" s="164"/>
      <c r="CU72" s="164"/>
      <c r="CV72" s="164"/>
      <c r="CW72" s="164">
        <f t="shared" si="118"/>
        <v>0</v>
      </c>
      <c r="CX72" s="164">
        <v>0</v>
      </c>
      <c r="CY72" s="164"/>
      <c r="CZ72" s="164">
        <f t="shared" si="179"/>
        <v>0</v>
      </c>
      <c r="DA72" s="164">
        <v>0</v>
      </c>
      <c r="DB72" s="164"/>
      <c r="DC72" s="164"/>
      <c r="DD72" s="164"/>
      <c r="DE72" s="164"/>
      <c r="DF72" s="164">
        <f t="shared" si="120"/>
        <v>0</v>
      </c>
      <c r="DG72" s="164">
        <f>DJ72-CX72</f>
        <v>0</v>
      </c>
      <c r="DH72" s="164"/>
      <c r="DI72" s="164">
        <f t="shared" si="121"/>
        <v>0</v>
      </c>
      <c r="DJ72" s="164">
        <v>0</v>
      </c>
      <c r="DK72" s="164"/>
      <c r="DL72" s="164">
        <f t="shared" si="122"/>
        <v>0</v>
      </c>
      <c r="DM72" s="164">
        <v>0</v>
      </c>
      <c r="DN72" s="164"/>
      <c r="DO72" s="164">
        <f t="shared" si="180"/>
        <v>0</v>
      </c>
      <c r="DP72" s="164">
        <v>0</v>
      </c>
      <c r="DQ72" s="164"/>
      <c r="DR72" s="164">
        <f t="shared" si="124"/>
        <v>0</v>
      </c>
      <c r="DS72" s="164">
        <f>DJ72-DM72-DP72</f>
        <v>0</v>
      </c>
      <c r="DT72" s="164"/>
      <c r="DU72" s="164"/>
      <c r="DV72" s="164"/>
      <c r="DW72" s="164"/>
      <c r="DX72" s="164"/>
      <c r="DY72" s="164"/>
      <c r="DZ72" s="164"/>
      <c r="EA72" s="164"/>
      <c r="EB72" s="164"/>
      <c r="EC72" s="164"/>
      <c r="ED72" s="164"/>
      <c r="EE72" s="164"/>
      <c r="EF72" s="164"/>
      <c r="EG72" s="164">
        <f t="shared" si="148"/>
        <v>0</v>
      </c>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3"/>
      <c r="FD72" s="163"/>
      <c r="FE72" s="163"/>
      <c r="FF72" s="163"/>
      <c r="FG72" s="163"/>
      <c r="FH72" s="163"/>
      <c r="FI72" s="163"/>
      <c r="FJ72" s="163"/>
      <c r="FK72" s="163"/>
      <c r="FL72" s="163"/>
      <c r="FM72" s="163"/>
      <c r="FN72" s="163"/>
      <c r="FO72" s="163">
        <f t="shared" si="151"/>
        <v>0</v>
      </c>
      <c r="FP72" s="163"/>
      <c r="FQ72" s="163"/>
      <c r="FR72" s="163"/>
      <c r="FS72" s="39" t="e">
        <f t="shared" si="57"/>
        <v>#REF!</v>
      </c>
      <c r="FT72" s="485" t="e">
        <f t="shared" si="81"/>
        <v>#REF!</v>
      </c>
      <c r="FU72" s="39">
        <v>0</v>
      </c>
      <c r="FV72" s="485" t="e">
        <f t="shared" si="82"/>
        <v>#DIV/0!</v>
      </c>
      <c r="FW72" s="38" t="e">
        <f>#REF!+FW374</f>
        <v>#REF!</v>
      </c>
      <c r="FX72" s="660" t="e">
        <f t="shared" si="191"/>
        <v>#REF!</v>
      </c>
      <c r="FY72" s="39" t="e">
        <f>#REF!+FY374</f>
        <v>#REF!</v>
      </c>
      <c r="FZ72" s="660" t="e">
        <f t="shared" si="192"/>
        <v>#REF!</v>
      </c>
      <c r="GA72" s="39">
        <f t="shared" si="83"/>
        <v>0</v>
      </c>
      <c r="GB72" s="485" t="e">
        <f t="shared" si="84"/>
        <v>#DIV/0!</v>
      </c>
      <c r="GC72" s="39">
        <v>0</v>
      </c>
      <c r="GD72" s="485" t="e">
        <f t="shared" si="85"/>
        <v>#DIV/0!</v>
      </c>
      <c r="GE72" s="82"/>
      <c r="GF72" s="498"/>
      <c r="GG72" s="82"/>
      <c r="GH72" s="498"/>
      <c r="GI72" s="90"/>
      <c r="GJ72" s="485"/>
      <c r="GK72" s="90"/>
      <c r="GL72" s="485"/>
      <c r="GM72" s="90"/>
      <c r="GN72" s="485"/>
      <c r="GO72" s="90"/>
      <c r="GP72" s="485"/>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c r="HX72" s="164"/>
      <c r="HY72" s="164"/>
      <c r="HZ72" s="164"/>
      <c r="IA72" s="164"/>
      <c r="IB72" s="164"/>
      <c r="IC72" s="164"/>
      <c r="ID72" s="164"/>
      <c r="IE72" s="169"/>
      <c r="IF72" s="170"/>
      <c r="IG72" s="170"/>
      <c r="IH72" s="170"/>
    </row>
    <row r="73" spans="2:242" s="194" customFormat="1" ht="62.25" hidden="1" customHeight="1" x14ac:dyDescent="0.25">
      <c r="B73" s="178" t="s">
        <v>173</v>
      </c>
      <c r="C73" s="101" t="s">
        <v>175</v>
      </c>
      <c r="D73" s="187"/>
      <c r="E73" s="188"/>
      <c r="F73" s="188"/>
      <c r="G73" s="188"/>
      <c r="H73" s="188"/>
      <c r="I73" s="188"/>
      <c r="J73" s="188"/>
      <c r="K73" s="188"/>
      <c r="L73" s="188"/>
      <c r="M73" s="188"/>
      <c r="N73" s="188"/>
      <c r="O73" s="188"/>
      <c r="P73" s="188"/>
      <c r="Q73" s="189"/>
      <c r="R73" s="189"/>
      <c r="S73" s="189"/>
      <c r="T73" s="189"/>
      <c r="U73" s="189"/>
      <c r="V73" s="189"/>
      <c r="W73" s="189"/>
      <c r="X73" s="189"/>
      <c r="Y73" s="189"/>
      <c r="Z73" s="189"/>
      <c r="AA73" s="189"/>
      <c r="AB73" s="189"/>
      <c r="AC73" s="189"/>
      <c r="AD73" s="189"/>
      <c r="AE73" s="189"/>
      <c r="AF73" s="189"/>
      <c r="AG73" s="189"/>
      <c r="AH73" s="189"/>
      <c r="AI73" s="182"/>
      <c r="AJ73" s="189"/>
      <c r="AK73" s="182"/>
      <c r="AL73" s="182"/>
      <c r="AM73" s="190"/>
      <c r="AN73" s="191"/>
      <c r="AO73" s="109"/>
      <c r="AP73" s="191"/>
      <c r="AQ73" s="191"/>
      <c r="AR73" s="191"/>
      <c r="AS73" s="189"/>
      <c r="AT73" s="189"/>
      <c r="AU73" s="189"/>
      <c r="AV73" s="189"/>
      <c r="AW73" s="189"/>
      <c r="AX73" s="189"/>
      <c r="AY73" s="189"/>
      <c r="AZ73" s="189"/>
      <c r="BA73" s="189"/>
      <c r="BB73" s="189"/>
      <c r="BC73" s="189"/>
      <c r="BD73" s="189"/>
      <c r="BE73" s="189"/>
      <c r="BF73" s="189"/>
      <c r="BG73" s="189"/>
      <c r="BH73" s="189"/>
      <c r="BI73" s="189"/>
      <c r="BJ73" s="189"/>
      <c r="BK73" s="110"/>
      <c r="BL73" s="106"/>
      <c r="BM73" s="106"/>
      <c r="BN73" s="106"/>
      <c r="BO73" s="106"/>
      <c r="BP73" s="106"/>
      <c r="BQ73" s="106"/>
      <c r="BR73" s="106"/>
      <c r="BS73" s="106"/>
      <c r="BT73" s="106"/>
      <c r="BU73" s="106"/>
      <c r="BV73" s="189"/>
      <c r="BW73" s="189"/>
      <c r="BX73" s="189"/>
      <c r="BY73" s="189"/>
      <c r="BZ73" s="192"/>
      <c r="CA73" s="189"/>
      <c r="CB73" s="189"/>
      <c r="CC73" s="189"/>
      <c r="CD73" s="189"/>
      <c r="CE73" s="106"/>
      <c r="CF73" s="106"/>
      <c r="CG73" s="189"/>
      <c r="CH73" s="189"/>
      <c r="CI73" s="189"/>
      <c r="CJ73" s="189"/>
      <c r="CK73" s="189"/>
      <c r="CL73" s="189"/>
      <c r="CM73" s="189"/>
      <c r="CN73" s="189"/>
      <c r="CO73" s="189"/>
      <c r="CP73" s="189"/>
      <c r="CQ73" s="189"/>
      <c r="CR73" s="189"/>
      <c r="CS73" s="189"/>
      <c r="CT73" s="189"/>
      <c r="CU73" s="192"/>
      <c r="CV73" s="189"/>
      <c r="CW73" s="105">
        <f t="shared" si="118"/>
        <v>234.66356999999999</v>
      </c>
      <c r="CX73" s="106">
        <f>CX74</f>
        <v>234.66356999999999</v>
      </c>
      <c r="CY73" s="106"/>
      <c r="CZ73" s="189"/>
      <c r="DA73" s="189"/>
      <c r="DB73" s="189"/>
      <c r="DC73" s="189"/>
      <c r="DD73" s="189"/>
      <c r="DE73" s="189"/>
      <c r="DF73" s="105">
        <f t="shared" si="120"/>
        <v>0</v>
      </c>
      <c r="DG73" s="106">
        <f>DG74</f>
        <v>0</v>
      </c>
      <c r="DH73" s="106">
        <f>SUM(DH74:DH81)</f>
        <v>0</v>
      </c>
      <c r="DI73" s="105">
        <f t="shared" si="121"/>
        <v>234.66356999999999</v>
      </c>
      <c r="DJ73" s="106">
        <f>DJ74</f>
        <v>234.66356999999999</v>
      </c>
      <c r="DK73" s="106">
        <f>SUM(DK74:DK81)</f>
        <v>0</v>
      </c>
      <c r="DL73" s="105">
        <f t="shared" si="122"/>
        <v>233.47331</v>
      </c>
      <c r="DM73" s="106">
        <f>DM74</f>
        <v>233.47331</v>
      </c>
      <c r="DN73" s="106">
        <f>SUM(DN74:DN81)</f>
        <v>0</v>
      </c>
      <c r="DO73" s="105">
        <f t="shared" si="180"/>
        <v>0</v>
      </c>
      <c r="DP73" s="106">
        <f>SUM(DP74:DP81)</f>
        <v>0</v>
      </c>
      <c r="DQ73" s="106">
        <f>SUM(DQ74:DQ81)</f>
        <v>0</v>
      </c>
      <c r="DR73" s="105">
        <f t="shared" si="124"/>
        <v>1.190259999999995</v>
      </c>
      <c r="DS73" s="106">
        <f>DS74</f>
        <v>1.190259999999995</v>
      </c>
      <c r="DT73" s="189"/>
      <c r="DU73" s="189"/>
      <c r="DV73" s="189"/>
      <c r="DW73" s="189"/>
      <c r="DX73" s="189"/>
      <c r="DY73" s="189"/>
      <c r="DZ73" s="189"/>
      <c r="EA73" s="189"/>
      <c r="EB73" s="189"/>
      <c r="EC73" s="189"/>
      <c r="ED73" s="189"/>
      <c r="EE73" s="189"/>
      <c r="EF73" s="189"/>
      <c r="EG73" s="164">
        <f t="shared" si="148"/>
        <v>0</v>
      </c>
      <c r="EH73" s="189"/>
      <c r="EI73" s="189"/>
      <c r="EJ73" s="189"/>
      <c r="EK73" s="189"/>
      <c r="EL73" s="189"/>
      <c r="EM73" s="189"/>
      <c r="EN73" s="189"/>
      <c r="EO73" s="189"/>
      <c r="EP73" s="189"/>
      <c r="EQ73" s="189"/>
      <c r="ER73" s="189"/>
      <c r="ES73" s="192"/>
      <c r="ET73" s="192"/>
      <c r="EU73" s="189"/>
      <c r="EV73" s="189"/>
      <c r="EW73" s="189"/>
      <c r="EX73" s="189"/>
      <c r="EY73" s="189"/>
      <c r="EZ73" s="189"/>
      <c r="FA73" s="189"/>
      <c r="FB73" s="189"/>
      <c r="FC73" s="188"/>
      <c r="FD73" s="188"/>
      <c r="FE73" s="188"/>
      <c r="FF73" s="188"/>
      <c r="FG73" s="188"/>
      <c r="FH73" s="188"/>
      <c r="FI73" s="188"/>
      <c r="FJ73" s="188"/>
      <c r="FK73" s="188"/>
      <c r="FL73" s="188"/>
      <c r="FM73" s="188"/>
      <c r="FN73" s="188"/>
      <c r="FO73" s="163">
        <f t="shared" si="151"/>
        <v>0</v>
      </c>
      <c r="FP73" s="188"/>
      <c r="FQ73" s="188"/>
      <c r="FR73" s="188"/>
      <c r="FS73" s="39" t="e">
        <f t="shared" si="57"/>
        <v>#REF!</v>
      </c>
      <c r="FT73" s="485" t="e">
        <f t="shared" si="81"/>
        <v>#REF!</v>
      </c>
      <c r="FU73" s="39">
        <v>0</v>
      </c>
      <c r="FV73" s="485" t="e">
        <f t="shared" si="82"/>
        <v>#DIV/0!</v>
      </c>
      <c r="FW73" s="38" t="e">
        <f>#REF!+FW375</f>
        <v>#REF!</v>
      </c>
      <c r="FX73" s="660" t="e">
        <f t="shared" si="191"/>
        <v>#REF!</v>
      </c>
      <c r="FY73" s="39" t="e">
        <f>#REF!+FY375</f>
        <v>#REF!</v>
      </c>
      <c r="FZ73" s="660" t="e">
        <f t="shared" si="192"/>
        <v>#REF!</v>
      </c>
      <c r="GA73" s="39">
        <f t="shared" si="83"/>
        <v>0</v>
      </c>
      <c r="GB73" s="485" t="e">
        <f t="shared" si="84"/>
        <v>#DIV/0!</v>
      </c>
      <c r="GC73" s="39">
        <v>0</v>
      </c>
      <c r="GD73" s="485" t="e">
        <f t="shared" si="85"/>
        <v>#DIV/0!</v>
      </c>
      <c r="GE73" s="82"/>
      <c r="GF73" s="498"/>
      <c r="GG73" s="82"/>
      <c r="GH73" s="498"/>
      <c r="GI73" s="90"/>
      <c r="GJ73" s="485"/>
      <c r="GK73" s="90"/>
      <c r="GL73" s="485"/>
      <c r="GM73" s="90"/>
      <c r="GN73" s="485"/>
      <c r="GO73" s="90"/>
      <c r="GP73" s="485"/>
      <c r="GQ73" s="189"/>
      <c r="GR73" s="189"/>
      <c r="GS73" s="189"/>
      <c r="GT73" s="189"/>
      <c r="GU73" s="189"/>
      <c r="GV73" s="189"/>
      <c r="GW73" s="189"/>
      <c r="GX73" s="189"/>
      <c r="GY73" s="189"/>
      <c r="GZ73" s="189"/>
      <c r="HA73" s="189"/>
      <c r="HB73" s="189"/>
      <c r="HC73" s="189"/>
      <c r="HD73" s="189"/>
      <c r="HE73" s="189"/>
      <c r="HF73" s="189"/>
      <c r="HG73" s="189"/>
      <c r="HH73" s="189"/>
      <c r="HI73" s="189"/>
      <c r="HJ73" s="189"/>
      <c r="HK73" s="189"/>
      <c r="HL73" s="189"/>
      <c r="HM73" s="189"/>
      <c r="HN73" s="189"/>
      <c r="HO73" s="189"/>
      <c r="HP73" s="189"/>
      <c r="HQ73" s="189"/>
      <c r="HR73" s="189"/>
      <c r="HS73" s="189"/>
      <c r="HT73" s="189"/>
      <c r="HU73" s="189"/>
      <c r="HV73" s="189"/>
      <c r="HW73" s="189"/>
      <c r="HX73" s="189"/>
      <c r="HY73" s="189"/>
      <c r="HZ73" s="189"/>
      <c r="IA73" s="189"/>
      <c r="IB73" s="189"/>
      <c r="IC73" s="189"/>
      <c r="ID73" s="189"/>
      <c r="IE73" s="169"/>
      <c r="IF73" s="193"/>
      <c r="IG73" s="193"/>
      <c r="IH73" s="193"/>
    </row>
    <row r="74" spans="2:242" s="171" customFormat="1" ht="15" hidden="1" customHeight="1" x14ac:dyDescent="0.25">
      <c r="B74" s="160"/>
      <c r="C74" s="161" t="s">
        <v>148</v>
      </c>
      <c r="D74" s="162"/>
      <c r="E74" s="163"/>
      <c r="F74" s="163"/>
      <c r="G74" s="163"/>
      <c r="H74" s="163"/>
      <c r="I74" s="163"/>
      <c r="J74" s="163"/>
      <c r="K74" s="163"/>
      <c r="L74" s="163"/>
      <c r="M74" s="163"/>
      <c r="N74" s="163"/>
      <c r="O74" s="163"/>
      <c r="P74" s="163"/>
      <c r="Q74" s="164"/>
      <c r="R74" s="164"/>
      <c r="S74" s="164"/>
      <c r="T74" s="164"/>
      <c r="U74" s="164"/>
      <c r="V74" s="164"/>
      <c r="W74" s="164"/>
      <c r="X74" s="164"/>
      <c r="Y74" s="164"/>
      <c r="Z74" s="164"/>
      <c r="AA74" s="164"/>
      <c r="AB74" s="164"/>
      <c r="AC74" s="164"/>
      <c r="AD74" s="164"/>
      <c r="AE74" s="164"/>
      <c r="AF74" s="164"/>
      <c r="AG74" s="164"/>
      <c r="AH74" s="164"/>
      <c r="AI74" s="165"/>
      <c r="AJ74" s="164"/>
      <c r="AK74" s="165"/>
      <c r="AL74" s="165"/>
      <c r="AM74" s="175"/>
      <c r="AN74" s="174"/>
      <c r="AO74" s="166"/>
      <c r="AP74" s="174"/>
      <c r="AQ74" s="174"/>
      <c r="AR74" s="174"/>
      <c r="AS74" s="164"/>
      <c r="AT74" s="164"/>
      <c r="AU74" s="164"/>
      <c r="AV74" s="164"/>
      <c r="AW74" s="164"/>
      <c r="AX74" s="164"/>
      <c r="AY74" s="164"/>
      <c r="AZ74" s="164"/>
      <c r="BA74" s="164"/>
      <c r="BB74" s="164"/>
      <c r="BC74" s="164"/>
      <c r="BD74" s="164"/>
      <c r="BE74" s="164"/>
      <c r="BF74" s="164"/>
      <c r="BG74" s="164"/>
      <c r="BH74" s="164"/>
      <c r="BI74" s="164"/>
      <c r="BJ74" s="164"/>
      <c r="BK74" s="167"/>
      <c r="BL74" s="168"/>
      <c r="BM74" s="168"/>
      <c r="BN74" s="168"/>
      <c r="BO74" s="168"/>
      <c r="BP74" s="168"/>
      <c r="BQ74" s="168"/>
      <c r="BR74" s="168"/>
      <c r="BS74" s="168"/>
      <c r="BT74" s="168"/>
      <c r="BU74" s="168"/>
      <c r="BV74" s="164"/>
      <c r="BW74" s="164"/>
      <c r="BX74" s="164"/>
      <c r="BY74" s="164"/>
      <c r="BZ74" s="164"/>
      <c r="CA74" s="164"/>
      <c r="CB74" s="164"/>
      <c r="CC74" s="164"/>
      <c r="CD74" s="164"/>
      <c r="CE74" s="168"/>
      <c r="CF74" s="168"/>
      <c r="CG74" s="164"/>
      <c r="CH74" s="164"/>
      <c r="CI74" s="164"/>
      <c r="CJ74" s="164"/>
      <c r="CK74" s="164"/>
      <c r="CL74" s="164"/>
      <c r="CM74" s="164"/>
      <c r="CN74" s="164"/>
      <c r="CO74" s="164"/>
      <c r="CP74" s="164"/>
      <c r="CQ74" s="164"/>
      <c r="CR74" s="164"/>
      <c r="CS74" s="164"/>
      <c r="CT74" s="164"/>
      <c r="CU74" s="164"/>
      <c r="CV74" s="164"/>
      <c r="CW74" s="164">
        <f t="shared" si="118"/>
        <v>234.66356999999999</v>
      </c>
      <c r="CX74" s="164">
        <v>234.66356999999999</v>
      </c>
      <c r="CY74" s="164"/>
      <c r="CZ74" s="164"/>
      <c r="DA74" s="164"/>
      <c r="DB74" s="164"/>
      <c r="DC74" s="164"/>
      <c r="DD74" s="164"/>
      <c r="DE74" s="164"/>
      <c r="DF74" s="164">
        <f t="shared" si="120"/>
        <v>0</v>
      </c>
      <c r="DG74" s="164">
        <f>DJ74-CX74</f>
        <v>0</v>
      </c>
      <c r="DH74" s="164"/>
      <c r="DI74" s="164">
        <f t="shared" si="121"/>
        <v>234.66356999999999</v>
      </c>
      <c r="DJ74" s="164">
        <v>234.66356999999999</v>
      </c>
      <c r="DK74" s="164"/>
      <c r="DL74" s="144">
        <f t="shared" si="122"/>
        <v>233.47331</v>
      </c>
      <c r="DM74" s="164">
        <v>233.47331</v>
      </c>
      <c r="DN74" s="164"/>
      <c r="DO74" s="164">
        <f t="shared" si="180"/>
        <v>0</v>
      </c>
      <c r="DP74" s="164"/>
      <c r="DQ74" s="164"/>
      <c r="DR74" s="164">
        <f t="shared" si="124"/>
        <v>1.190259999999995</v>
      </c>
      <c r="DS74" s="164">
        <f>DJ74-DM74-DP74</f>
        <v>1.190259999999995</v>
      </c>
      <c r="DT74" s="164"/>
      <c r="DU74" s="164"/>
      <c r="DV74" s="164"/>
      <c r="DW74" s="164"/>
      <c r="DX74" s="164"/>
      <c r="DY74" s="164"/>
      <c r="DZ74" s="164"/>
      <c r="EA74" s="164"/>
      <c r="EB74" s="164"/>
      <c r="EC74" s="164"/>
      <c r="ED74" s="164"/>
      <c r="EE74" s="164"/>
      <c r="EF74" s="164"/>
      <c r="EG74" s="164">
        <f t="shared" si="148"/>
        <v>0</v>
      </c>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3"/>
      <c r="FD74" s="163"/>
      <c r="FE74" s="163"/>
      <c r="FF74" s="163"/>
      <c r="FG74" s="163"/>
      <c r="FH74" s="163"/>
      <c r="FI74" s="163"/>
      <c r="FJ74" s="163"/>
      <c r="FK74" s="163"/>
      <c r="FL74" s="163"/>
      <c r="FM74" s="163"/>
      <c r="FN74" s="163"/>
      <c r="FO74" s="163">
        <f t="shared" si="151"/>
        <v>0</v>
      </c>
      <c r="FP74" s="163"/>
      <c r="FQ74" s="163"/>
      <c r="FR74" s="163"/>
      <c r="FS74" s="39">
        <f t="shared" si="57"/>
        <v>271628.74626999995</v>
      </c>
      <c r="FT74" s="485" t="e">
        <f t="shared" si="81"/>
        <v>#DIV/0!</v>
      </c>
      <c r="FU74" s="39">
        <v>0</v>
      </c>
      <c r="FV74" s="485" t="e">
        <f t="shared" si="82"/>
        <v>#DIV/0!</v>
      </c>
      <c r="FW74" s="38">
        <f>FW332+FW376</f>
        <v>255991.56257999997</v>
      </c>
      <c r="FX74" s="660" t="e">
        <f t="shared" si="191"/>
        <v>#DIV/0!</v>
      </c>
      <c r="FY74" s="39">
        <f>FY332+FY376</f>
        <v>15637.18369</v>
      </c>
      <c r="FZ74" s="660" t="e">
        <f t="shared" si="192"/>
        <v>#DIV/0!</v>
      </c>
      <c r="GA74" s="39">
        <f t="shared" si="83"/>
        <v>0</v>
      </c>
      <c r="GB74" s="485" t="e">
        <f t="shared" si="84"/>
        <v>#DIV/0!</v>
      </c>
      <c r="GC74" s="39">
        <v>0</v>
      </c>
      <c r="GD74" s="485" t="e">
        <f t="shared" si="85"/>
        <v>#DIV/0!</v>
      </c>
      <c r="GE74" s="82"/>
      <c r="GF74" s="498"/>
      <c r="GG74" s="82"/>
      <c r="GH74" s="498"/>
      <c r="GI74" s="90"/>
      <c r="GJ74" s="485"/>
      <c r="GK74" s="90"/>
      <c r="GL74" s="485"/>
      <c r="GM74" s="90"/>
      <c r="GN74" s="485"/>
      <c r="GO74" s="90"/>
      <c r="GP74" s="485"/>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c r="HX74" s="164"/>
      <c r="HY74" s="164"/>
      <c r="HZ74" s="164"/>
      <c r="IA74" s="164"/>
      <c r="IB74" s="164"/>
      <c r="IC74" s="164"/>
      <c r="ID74" s="164"/>
      <c r="IE74" s="169"/>
      <c r="IF74" s="170"/>
      <c r="IG74" s="170"/>
      <c r="IH74" s="170"/>
    </row>
    <row r="75" spans="2:242" s="194" customFormat="1" ht="87.75" hidden="1" customHeight="1" x14ac:dyDescent="0.25">
      <c r="B75" s="178" t="s">
        <v>176</v>
      </c>
      <c r="C75" s="101" t="s">
        <v>177</v>
      </c>
      <c r="D75" s="187"/>
      <c r="E75" s="188"/>
      <c r="F75" s="188"/>
      <c r="G75" s="188"/>
      <c r="H75" s="188"/>
      <c r="I75" s="188"/>
      <c r="J75" s="188"/>
      <c r="K75" s="188"/>
      <c r="L75" s="188"/>
      <c r="M75" s="188"/>
      <c r="N75" s="188"/>
      <c r="O75" s="188"/>
      <c r="P75" s="188"/>
      <c r="Q75" s="189"/>
      <c r="R75" s="189"/>
      <c r="S75" s="189"/>
      <c r="T75" s="189"/>
      <c r="U75" s="189"/>
      <c r="V75" s="189"/>
      <c r="W75" s="189"/>
      <c r="X75" s="189"/>
      <c r="Y75" s="189"/>
      <c r="Z75" s="189"/>
      <c r="AA75" s="189"/>
      <c r="AB75" s="189"/>
      <c r="AC75" s="189"/>
      <c r="AD75" s="189"/>
      <c r="AE75" s="189"/>
      <c r="AF75" s="189"/>
      <c r="AG75" s="189"/>
      <c r="AH75" s="189"/>
      <c r="AI75" s="182"/>
      <c r="AJ75" s="189"/>
      <c r="AK75" s="182"/>
      <c r="AL75" s="182"/>
      <c r="AM75" s="190"/>
      <c r="AN75" s="191"/>
      <c r="AO75" s="109"/>
      <c r="AP75" s="191"/>
      <c r="AQ75" s="191"/>
      <c r="AR75" s="191"/>
      <c r="AS75" s="189"/>
      <c r="AT75" s="189"/>
      <c r="AU75" s="189"/>
      <c r="AV75" s="189"/>
      <c r="AW75" s="189"/>
      <c r="AX75" s="189"/>
      <c r="AY75" s="189"/>
      <c r="AZ75" s="189"/>
      <c r="BA75" s="189"/>
      <c r="BB75" s="189"/>
      <c r="BC75" s="189"/>
      <c r="BD75" s="189"/>
      <c r="BE75" s="189"/>
      <c r="BF75" s="189"/>
      <c r="BG75" s="189"/>
      <c r="BH75" s="189"/>
      <c r="BI75" s="189"/>
      <c r="BJ75" s="189"/>
      <c r="BK75" s="110"/>
      <c r="BL75" s="106"/>
      <c r="BM75" s="106"/>
      <c r="BN75" s="106"/>
      <c r="BO75" s="106"/>
      <c r="BP75" s="106"/>
      <c r="BQ75" s="106"/>
      <c r="BR75" s="106"/>
      <c r="BS75" s="106"/>
      <c r="BT75" s="106"/>
      <c r="BU75" s="106"/>
      <c r="BV75" s="189"/>
      <c r="BW75" s="189"/>
      <c r="BX75" s="189"/>
      <c r="BY75" s="189"/>
      <c r="BZ75" s="192"/>
      <c r="CA75" s="189"/>
      <c r="CB75" s="189"/>
      <c r="CC75" s="189"/>
      <c r="CD75" s="189"/>
      <c r="CE75" s="106"/>
      <c r="CF75" s="106"/>
      <c r="CG75" s="189"/>
      <c r="CH75" s="189"/>
      <c r="CI75" s="189"/>
      <c r="CJ75" s="189"/>
      <c r="CK75" s="189"/>
      <c r="CL75" s="189"/>
      <c r="CM75" s="189"/>
      <c r="CN75" s="189"/>
      <c r="CO75" s="189"/>
      <c r="CP75" s="189"/>
      <c r="CQ75" s="189"/>
      <c r="CR75" s="189"/>
      <c r="CS75" s="189"/>
      <c r="CT75" s="189"/>
      <c r="CU75" s="192"/>
      <c r="CV75" s="189"/>
      <c r="CW75" s="105">
        <f>CX75</f>
        <v>3185.16588</v>
      </c>
      <c r="CX75" s="106">
        <f>CX76+CX77</f>
        <v>3185.16588</v>
      </c>
      <c r="CY75" s="189"/>
      <c r="CZ75" s="189"/>
      <c r="DA75" s="189"/>
      <c r="DB75" s="189"/>
      <c r="DC75" s="189"/>
      <c r="DD75" s="189"/>
      <c r="DE75" s="189"/>
      <c r="DF75" s="105">
        <f t="shared" si="120"/>
        <v>0</v>
      </c>
      <c r="DG75" s="106">
        <f>DG76+DG77</f>
        <v>0</v>
      </c>
      <c r="DH75" s="106">
        <f>SUM(DH77:DH83)</f>
        <v>0</v>
      </c>
      <c r="DI75" s="105">
        <f t="shared" si="121"/>
        <v>3185.16588</v>
      </c>
      <c r="DJ75" s="106">
        <f>DJ76+DJ77</f>
        <v>3185.16588</v>
      </c>
      <c r="DK75" s="189"/>
      <c r="DL75" s="105">
        <f>DM75</f>
        <v>1885.16588</v>
      </c>
      <c r="DM75" s="105">
        <f>DM77</f>
        <v>1885.16588</v>
      </c>
      <c r="DN75" s="192"/>
      <c r="DO75" s="105">
        <f>DP75</f>
        <v>0</v>
      </c>
      <c r="DP75" s="105">
        <f>DP77</f>
        <v>0</v>
      </c>
      <c r="DQ75" s="105"/>
      <c r="DR75" s="105">
        <f>DS75</f>
        <v>1300</v>
      </c>
      <c r="DS75" s="105">
        <f>DS76+DS77</f>
        <v>1300</v>
      </c>
      <c r="DT75" s="189"/>
      <c r="DU75" s="189"/>
      <c r="DV75" s="189"/>
      <c r="DW75" s="189"/>
      <c r="DX75" s="189"/>
      <c r="DY75" s="189"/>
      <c r="DZ75" s="189"/>
      <c r="EA75" s="189"/>
      <c r="EB75" s="189"/>
      <c r="EC75" s="189"/>
      <c r="ED75" s="189"/>
      <c r="EE75" s="189"/>
      <c r="EF75" s="189"/>
      <c r="EG75" s="164">
        <f t="shared" si="148"/>
        <v>0</v>
      </c>
      <c r="EH75" s="189"/>
      <c r="EI75" s="189"/>
      <c r="EJ75" s="189"/>
      <c r="EK75" s="189"/>
      <c r="EL75" s="189"/>
      <c r="EM75" s="189"/>
      <c r="EN75" s="189"/>
      <c r="EO75" s="189"/>
      <c r="EP75" s="189"/>
      <c r="EQ75" s="189"/>
      <c r="ER75" s="189"/>
      <c r="ES75" s="192"/>
      <c r="ET75" s="192"/>
      <c r="EU75" s="189"/>
      <c r="EV75" s="189"/>
      <c r="EW75" s="189"/>
      <c r="EX75" s="189"/>
      <c r="EY75" s="189"/>
      <c r="EZ75" s="189"/>
      <c r="FA75" s="189"/>
      <c r="FB75" s="189"/>
      <c r="FC75" s="188"/>
      <c r="FD75" s="188"/>
      <c r="FE75" s="188"/>
      <c r="FF75" s="188"/>
      <c r="FG75" s="188"/>
      <c r="FH75" s="188"/>
      <c r="FI75" s="188"/>
      <c r="FJ75" s="188"/>
      <c r="FK75" s="188"/>
      <c r="FL75" s="188"/>
      <c r="FM75" s="188"/>
      <c r="FN75" s="188"/>
      <c r="FO75" s="163">
        <f t="shared" si="151"/>
        <v>0</v>
      </c>
      <c r="FP75" s="188"/>
      <c r="FQ75" s="188"/>
      <c r="FR75" s="188"/>
      <c r="FS75" s="39">
        <f t="shared" si="57"/>
        <v>0</v>
      </c>
      <c r="FT75" s="485" t="e">
        <f t="shared" si="81"/>
        <v>#DIV/0!</v>
      </c>
      <c r="FU75" s="39">
        <v>0</v>
      </c>
      <c r="FV75" s="485" t="e">
        <f t="shared" si="82"/>
        <v>#DIV/0!</v>
      </c>
      <c r="FW75" s="38">
        <f t="shared" ref="FW75:FW81" si="193">FW346+FW377</f>
        <v>0</v>
      </c>
      <c r="FX75" s="660" t="e">
        <f t="shared" si="191"/>
        <v>#DIV/0!</v>
      </c>
      <c r="FY75" s="39">
        <f t="shared" ref="FY75:FY81" si="194">FY346+FY377</f>
        <v>0</v>
      </c>
      <c r="FZ75" s="660" t="e">
        <f t="shared" si="192"/>
        <v>#DIV/0!</v>
      </c>
      <c r="GA75" s="39">
        <f t="shared" si="83"/>
        <v>0</v>
      </c>
      <c r="GB75" s="485" t="e">
        <f t="shared" si="84"/>
        <v>#DIV/0!</v>
      </c>
      <c r="GC75" s="39">
        <v>0</v>
      </c>
      <c r="GD75" s="485" t="e">
        <f t="shared" si="85"/>
        <v>#DIV/0!</v>
      </c>
      <c r="GE75" s="82"/>
      <c r="GF75" s="498"/>
      <c r="GG75" s="82"/>
      <c r="GH75" s="498"/>
      <c r="GI75" s="90"/>
      <c r="GJ75" s="485"/>
      <c r="GK75" s="90"/>
      <c r="GL75" s="485"/>
      <c r="GM75" s="90"/>
      <c r="GN75" s="485"/>
      <c r="GO75" s="90"/>
      <c r="GP75" s="485"/>
      <c r="GQ75" s="189"/>
      <c r="GR75" s="189"/>
      <c r="GS75" s="189"/>
      <c r="GT75" s="189"/>
      <c r="GU75" s="189"/>
      <c r="GV75" s="189"/>
      <c r="GW75" s="189"/>
      <c r="GX75" s="189"/>
      <c r="GY75" s="189"/>
      <c r="GZ75" s="189"/>
      <c r="HA75" s="189"/>
      <c r="HB75" s="189"/>
      <c r="HC75" s="189"/>
      <c r="HD75" s="189"/>
      <c r="HE75" s="189"/>
      <c r="HF75" s="189"/>
      <c r="HG75" s="189"/>
      <c r="HH75" s="189"/>
      <c r="HI75" s="189"/>
      <c r="HJ75" s="189"/>
      <c r="HK75" s="189"/>
      <c r="HL75" s="189"/>
      <c r="HM75" s="189"/>
      <c r="HN75" s="189"/>
      <c r="HO75" s="189"/>
      <c r="HP75" s="189"/>
      <c r="HQ75" s="189"/>
      <c r="HR75" s="189"/>
      <c r="HS75" s="189"/>
      <c r="HT75" s="189"/>
      <c r="HU75" s="189"/>
      <c r="HV75" s="189"/>
      <c r="HW75" s="189"/>
      <c r="HX75" s="189"/>
      <c r="HY75" s="189"/>
      <c r="HZ75" s="189"/>
      <c r="IA75" s="189"/>
      <c r="IB75" s="189"/>
      <c r="IC75" s="189"/>
      <c r="ID75" s="189"/>
      <c r="IE75" s="169"/>
      <c r="IF75" s="193"/>
      <c r="IG75" s="193"/>
      <c r="IH75" s="193"/>
    </row>
    <row r="76" spans="2:242" s="194" customFormat="1" ht="56.25" hidden="1" customHeight="1" x14ac:dyDescent="0.25">
      <c r="B76" s="178"/>
      <c r="C76" s="161" t="s">
        <v>161</v>
      </c>
      <c r="D76" s="187"/>
      <c r="E76" s="188"/>
      <c r="F76" s="188"/>
      <c r="G76" s="188"/>
      <c r="H76" s="188"/>
      <c r="I76" s="188"/>
      <c r="J76" s="188"/>
      <c r="K76" s="188"/>
      <c r="L76" s="188"/>
      <c r="M76" s="188"/>
      <c r="N76" s="188"/>
      <c r="O76" s="188"/>
      <c r="P76" s="188"/>
      <c r="Q76" s="189"/>
      <c r="R76" s="189"/>
      <c r="S76" s="189"/>
      <c r="T76" s="189"/>
      <c r="U76" s="189"/>
      <c r="V76" s="189"/>
      <c r="W76" s="189"/>
      <c r="X76" s="189"/>
      <c r="Y76" s="189"/>
      <c r="Z76" s="189"/>
      <c r="AA76" s="189"/>
      <c r="AB76" s="189"/>
      <c r="AC76" s="189"/>
      <c r="AD76" s="189"/>
      <c r="AE76" s="189"/>
      <c r="AF76" s="189"/>
      <c r="AG76" s="189"/>
      <c r="AH76" s="189"/>
      <c r="AI76" s="182"/>
      <c r="AJ76" s="189"/>
      <c r="AK76" s="182"/>
      <c r="AL76" s="182"/>
      <c r="AM76" s="190"/>
      <c r="AN76" s="191"/>
      <c r="AO76" s="109"/>
      <c r="AP76" s="191"/>
      <c r="AQ76" s="191"/>
      <c r="AR76" s="191"/>
      <c r="AS76" s="189"/>
      <c r="AT76" s="189"/>
      <c r="AU76" s="189"/>
      <c r="AV76" s="189"/>
      <c r="AW76" s="189"/>
      <c r="AX76" s="189"/>
      <c r="AY76" s="189"/>
      <c r="AZ76" s="189"/>
      <c r="BA76" s="189"/>
      <c r="BB76" s="189"/>
      <c r="BC76" s="189"/>
      <c r="BD76" s="189"/>
      <c r="BE76" s="189"/>
      <c r="BF76" s="189"/>
      <c r="BG76" s="189"/>
      <c r="BH76" s="189"/>
      <c r="BI76" s="189"/>
      <c r="BJ76" s="189"/>
      <c r="BK76" s="110"/>
      <c r="BL76" s="106"/>
      <c r="BM76" s="106"/>
      <c r="BN76" s="106"/>
      <c r="BO76" s="106"/>
      <c r="BP76" s="106"/>
      <c r="BQ76" s="106"/>
      <c r="BR76" s="106"/>
      <c r="BS76" s="106"/>
      <c r="BT76" s="106"/>
      <c r="BU76" s="106"/>
      <c r="BV76" s="189"/>
      <c r="BW76" s="189"/>
      <c r="BX76" s="189"/>
      <c r="BY76" s="189"/>
      <c r="BZ76" s="192"/>
      <c r="CA76" s="189"/>
      <c r="CB76" s="189"/>
      <c r="CC76" s="189"/>
      <c r="CD76" s="189"/>
      <c r="CE76" s="106"/>
      <c r="CF76" s="106"/>
      <c r="CG76" s="189"/>
      <c r="CH76" s="189"/>
      <c r="CI76" s="189"/>
      <c r="CJ76" s="189"/>
      <c r="CK76" s="189"/>
      <c r="CL76" s="189"/>
      <c r="CM76" s="189"/>
      <c r="CN76" s="189"/>
      <c r="CO76" s="189"/>
      <c r="CP76" s="189"/>
      <c r="CQ76" s="189"/>
      <c r="CR76" s="189"/>
      <c r="CS76" s="189"/>
      <c r="CT76" s="189"/>
      <c r="CU76" s="192"/>
      <c r="CV76" s="189"/>
      <c r="CW76" s="144">
        <f>CX76</f>
        <v>1300</v>
      </c>
      <c r="CX76" s="168">
        <v>1300</v>
      </c>
      <c r="CY76" s="189"/>
      <c r="CZ76" s="189"/>
      <c r="DA76" s="189"/>
      <c r="DB76" s="189"/>
      <c r="DC76" s="189"/>
      <c r="DD76" s="189"/>
      <c r="DE76" s="189"/>
      <c r="DF76" s="144">
        <f>DG76</f>
        <v>0</v>
      </c>
      <c r="DG76" s="168">
        <f>DJ76-CX76</f>
        <v>0</v>
      </c>
      <c r="DH76" s="168"/>
      <c r="DI76" s="144">
        <f>DJ76</f>
        <v>1300</v>
      </c>
      <c r="DJ76" s="168">
        <v>1300</v>
      </c>
      <c r="DK76" s="189"/>
      <c r="DL76" s="144">
        <f>DM76</f>
        <v>0</v>
      </c>
      <c r="DM76" s="144">
        <v>0</v>
      </c>
      <c r="DN76" s="192"/>
      <c r="DO76" s="144">
        <f>DP76</f>
        <v>0</v>
      </c>
      <c r="DP76" s="144">
        <v>0</v>
      </c>
      <c r="DQ76" s="105"/>
      <c r="DR76" s="144">
        <f>DS76</f>
        <v>1300</v>
      </c>
      <c r="DS76" s="144">
        <f>DJ76-DM76-DP76</f>
        <v>1300</v>
      </c>
      <c r="DT76" s="189"/>
      <c r="DU76" s="189"/>
      <c r="DV76" s="189"/>
      <c r="DW76" s="189"/>
      <c r="DX76" s="189"/>
      <c r="DY76" s="189"/>
      <c r="DZ76" s="189"/>
      <c r="EA76" s="189"/>
      <c r="EB76" s="189"/>
      <c r="EC76" s="189"/>
      <c r="ED76" s="189"/>
      <c r="EE76" s="189"/>
      <c r="EF76" s="189"/>
      <c r="EG76" s="164">
        <f t="shared" si="148"/>
        <v>0</v>
      </c>
      <c r="EH76" s="189"/>
      <c r="EI76" s="189"/>
      <c r="EJ76" s="189"/>
      <c r="EK76" s="189"/>
      <c r="EL76" s="189"/>
      <c r="EM76" s="189"/>
      <c r="EN76" s="189"/>
      <c r="EO76" s="189"/>
      <c r="EP76" s="189"/>
      <c r="EQ76" s="189"/>
      <c r="ER76" s="189"/>
      <c r="ES76" s="192"/>
      <c r="ET76" s="192"/>
      <c r="EU76" s="189"/>
      <c r="EV76" s="189"/>
      <c r="EW76" s="189"/>
      <c r="EX76" s="189"/>
      <c r="EY76" s="189"/>
      <c r="EZ76" s="189"/>
      <c r="FA76" s="189"/>
      <c r="FB76" s="189"/>
      <c r="FC76" s="188"/>
      <c r="FD76" s="188"/>
      <c r="FE76" s="188"/>
      <c r="FF76" s="188"/>
      <c r="FG76" s="188"/>
      <c r="FH76" s="188"/>
      <c r="FI76" s="188"/>
      <c r="FJ76" s="188"/>
      <c r="FK76" s="188"/>
      <c r="FL76" s="188"/>
      <c r="FM76" s="188"/>
      <c r="FN76" s="188"/>
      <c r="FO76" s="163">
        <f t="shared" si="151"/>
        <v>0</v>
      </c>
      <c r="FP76" s="188"/>
      <c r="FQ76" s="188"/>
      <c r="FR76" s="188"/>
      <c r="FS76" s="39">
        <f t="shared" si="57"/>
        <v>0</v>
      </c>
      <c r="FT76" s="485" t="e">
        <f t="shared" si="81"/>
        <v>#DIV/0!</v>
      </c>
      <c r="FU76" s="39">
        <v>0</v>
      </c>
      <c r="FV76" s="485" t="e">
        <f t="shared" si="82"/>
        <v>#DIV/0!</v>
      </c>
      <c r="FW76" s="38">
        <f t="shared" si="193"/>
        <v>0</v>
      </c>
      <c r="FX76" s="660" t="e">
        <f t="shared" si="191"/>
        <v>#DIV/0!</v>
      </c>
      <c r="FY76" s="39">
        <f t="shared" si="194"/>
        <v>0</v>
      </c>
      <c r="FZ76" s="660" t="e">
        <f t="shared" si="192"/>
        <v>#DIV/0!</v>
      </c>
      <c r="GA76" s="39">
        <f t="shared" si="83"/>
        <v>0</v>
      </c>
      <c r="GB76" s="485" t="e">
        <f t="shared" si="84"/>
        <v>#DIV/0!</v>
      </c>
      <c r="GC76" s="39">
        <v>0</v>
      </c>
      <c r="GD76" s="485" t="e">
        <f t="shared" si="85"/>
        <v>#DIV/0!</v>
      </c>
      <c r="GE76" s="82"/>
      <c r="GF76" s="498"/>
      <c r="GG76" s="82"/>
      <c r="GH76" s="498"/>
      <c r="GI76" s="90"/>
      <c r="GJ76" s="485"/>
      <c r="GK76" s="90"/>
      <c r="GL76" s="485"/>
      <c r="GM76" s="90"/>
      <c r="GN76" s="485"/>
      <c r="GO76" s="90"/>
      <c r="GP76" s="485"/>
      <c r="GQ76" s="189"/>
      <c r="GR76" s="189"/>
      <c r="GS76" s="189"/>
      <c r="GT76" s="189"/>
      <c r="GU76" s="189"/>
      <c r="GV76" s="189"/>
      <c r="GW76" s="189"/>
      <c r="GX76" s="189"/>
      <c r="GY76" s="189"/>
      <c r="GZ76" s="189"/>
      <c r="HA76" s="189"/>
      <c r="HB76" s="189"/>
      <c r="HC76" s="189"/>
      <c r="HD76" s="189"/>
      <c r="HE76" s="189"/>
      <c r="HF76" s="189"/>
      <c r="HG76" s="189"/>
      <c r="HH76" s="189"/>
      <c r="HI76" s="189"/>
      <c r="HJ76" s="189"/>
      <c r="HK76" s="189"/>
      <c r="HL76" s="189"/>
      <c r="HM76" s="189"/>
      <c r="HN76" s="189"/>
      <c r="HO76" s="189"/>
      <c r="HP76" s="189"/>
      <c r="HQ76" s="189"/>
      <c r="HR76" s="189"/>
      <c r="HS76" s="189"/>
      <c r="HT76" s="189"/>
      <c r="HU76" s="189"/>
      <c r="HV76" s="189"/>
      <c r="HW76" s="189"/>
      <c r="HX76" s="189"/>
      <c r="HY76" s="189"/>
      <c r="HZ76" s="189"/>
      <c r="IA76" s="189"/>
      <c r="IB76" s="189"/>
      <c r="IC76" s="189"/>
      <c r="ID76" s="189"/>
      <c r="IE76" s="169"/>
      <c r="IF76" s="193"/>
      <c r="IG76" s="193"/>
      <c r="IH76" s="193"/>
    </row>
    <row r="77" spans="2:242" s="171" customFormat="1" ht="15" hidden="1" customHeight="1" x14ac:dyDescent="0.25">
      <c r="B77" s="160"/>
      <c r="C77" s="161" t="s">
        <v>148</v>
      </c>
      <c r="D77" s="162"/>
      <c r="E77" s="163"/>
      <c r="F77" s="163"/>
      <c r="G77" s="163"/>
      <c r="H77" s="163"/>
      <c r="I77" s="163"/>
      <c r="J77" s="163"/>
      <c r="K77" s="163"/>
      <c r="L77" s="163"/>
      <c r="M77" s="163"/>
      <c r="N77" s="163"/>
      <c r="O77" s="163"/>
      <c r="P77" s="163"/>
      <c r="Q77" s="164"/>
      <c r="R77" s="164"/>
      <c r="S77" s="164"/>
      <c r="T77" s="164"/>
      <c r="U77" s="164"/>
      <c r="V77" s="164"/>
      <c r="W77" s="164"/>
      <c r="X77" s="164"/>
      <c r="Y77" s="164"/>
      <c r="Z77" s="164"/>
      <c r="AA77" s="164"/>
      <c r="AB77" s="164"/>
      <c r="AC77" s="164"/>
      <c r="AD77" s="164"/>
      <c r="AE77" s="164"/>
      <c r="AF77" s="164"/>
      <c r="AG77" s="164"/>
      <c r="AH77" s="164"/>
      <c r="AI77" s="165"/>
      <c r="AJ77" s="164"/>
      <c r="AK77" s="165"/>
      <c r="AL77" s="165"/>
      <c r="AM77" s="175"/>
      <c r="AN77" s="174"/>
      <c r="AO77" s="166"/>
      <c r="AP77" s="174"/>
      <c r="AQ77" s="174"/>
      <c r="AR77" s="174"/>
      <c r="AS77" s="164"/>
      <c r="AT77" s="164"/>
      <c r="AU77" s="164"/>
      <c r="AV77" s="164"/>
      <c r="AW77" s="164"/>
      <c r="AX77" s="164"/>
      <c r="AY77" s="164"/>
      <c r="AZ77" s="164"/>
      <c r="BA77" s="164"/>
      <c r="BB77" s="164"/>
      <c r="BC77" s="164"/>
      <c r="BD77" s="164"/>
      <c r="BE77" s="164"/>
      <c r="BF77" s="164"/>
      <c r="BG77" s="164"/>
      <c r="BH77" s="164"/>
      <c r="BI77" s="164"/>
      <c r="BJ77" s="164"/>
      <c r="BK77" s="167"/>
      <c r="BL77" s="168"/>
      <c r="BM77" s="168"/>
      <c r="BN77" s="168"/>
      <c r="BO77" s="168"/>
      <c r="BP77" s="168"/>
      <c r="BQ77" s="168"/>
      <c r="BR77" s="168"/>
      <c r="BS77" s="168"/>
      <c r="BT77" s="168"/>
      <c r="BU77" s="168"/>
      <c r="BV77" s="164"/>
      <c r="BW77" s="164"/>
      <c r="BX77" s="164"/>
      <c r="BY77" s="164"/>
      <c r="BZ77" s="164"/>
      <c r="CA77" s="164"/>
      <c r="CB77" s="164"/>
      <c r="CC77" s="164"/>
      <c r="CD77" s="164"/>
      <c r="CE77" s="168"/>
      <c r="CF77" s="168"/>
      <c r="CG77" s="164"/>
      <c r="CH77" s="164"/>
      <c r="CI77" s="164"/>
      <c r="CJ77" s="164"/>
      <c r="CK77" s="164"/>
      <c r="CL77" s="164"/>
      <c r="CM77" s="164"/>
      <c r="CN77" s="164"/>
      <c r="CO77" s="164"/>
      <c r="CP77" s="164"/>
      <c r="CQ77" s="164"/>
      <c r="CR77" s="164"/>
      <c r="CS77" s="164"/>
      <c r="CT77" s="164"/>
      <c r="CU77" s="164"/>
      <c r="CV77" s="164"/>
      <c r="CW77" s="164">
        <f>CX77+CY77</f>
        <v>1885.16588</v>
      </c>
      <c r="CX77" s="164">
        <v>1885.16588</v>
      </c>
      <c r="CY77" s="164"/>
      <c r="CZ77" s="164"/>
      <c r="DA77" s="164"/>
      <c r="DB77" s="164"/>
      <c r="DC77" s="164"/>
      <c r="DD77" s="164"/>
      <c r="DE77" s="164"/>
      <c r="DF77" s="164">
        <f>DG77+DH77</f>
        <v>0</v>
      </c>
      <c r="DG77" s="164">
        <f>DJ77-CX77</f>
        <v>0</v>
      </c>
      <c r="DH77" s="164"/>
      <c r="DI77" s="164">
        <f>DJ77+DK77</f>
        <v>1885.16588</v>
      </c>
      <c r="DJ77" s="164">
        <f>3185.16588-DJ76</f>
        <v>1885.16588</v>
      </c>
      <c r="DK77" s="164"/>
      <c r="DL77" s="144">
        <f>DM77+DN77</f>
        <v>1885.16588</v>
      </c>
      <c r="DM77" s="164">
        <v>1885.16588</v>
      </c>
      <c r="DN77" s="164"/>
      <c r="DO77" s="164">
        <f>DP77+DQ77</f>
        <v>0</v>
      </c>
      <c r="DP77" s="164">
        <v>0</v>
      </c>
      <c r="DQ77" s="164">
        <v>0</v>
      </c>
      <c r="DR77" s="164">
        <f>DS77+DT77</f>
        <v>0</v>
      </c>
      <c r="DS77" s="164">
        <f>DJ77-DM77</f>
        <v>0</v>
      </c>
      <c r="DT77" s="164"/>
      <c r="DU77" s="164"/>
      <c r="DV77" s="164"/>
      <c r="DW77" s="164"/>
      <c r="DX77" s="164"/>
      <c r="DY77" s="164"/>
      <c r="DZ77" s="164"/>
      <c r="EA77" s="164"/>
      <c r="EB77" s="164"/>
      <c r="EC77" s="164"/>
      <c r="ED77" s="164"/>
      <c r="EE77" s="164"/>
      <c r="EF77" s="164"/>
      <c r="EG77" s="164">
        <f t="shared" si="148"/>
        <v>0</v>
      </c>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3"/>
      <c r="FD77" s="163"/>
      <c r="FE77" s="163"/>
      <c r="FF77" s="163"/>
      <c r="FG77" s="163"/>
      <c r="FH77" s="163"/>
      <c r="FI77" s="163"/>
      <c r="FJ77" s="163"/>
      <c r="FK77" s="163"/>
      <c r="FL77" s="163"/>
      <c r="FM77" s="163"/>
      <c r="FN77" s="163"/>
      <c r="FO77" s="163">
        <f t="shared" si="151"/>
        <v>0</v>
      </c>
      <c r="FP77" s="163"/>
      <c r="FQ77" s="163"/>
      <c r="FR77" s="163"/>
      <c r="FS77" s="39">
        <f t="shared" ref="FS77:FS146" si="195">FU77+FW77+FY77</f>
        <v>0</v>
      </c>
      <c r="FT77" s="485" t="e">
        <f t="shared" si="81"/>
        <v>#DIV/0!</v>
      </c>
      <c r="FU77" s="39">
        <v>0</v>
      </c>
      <c r="FV77" s="485" t="e">
        <f t="shared" si="82"/>
        <v>#DIV/0!</v>
      </c>
      <c r="FW77" s="38">
        <f t="shared" si="193"/>
        <v>0</v>
      </c>
      <c r="FX77" s="660" t="e">
        <f t="shared" si="191"/>
        <v>#DIV/0!</v>
      </c>
      <c r="FY77" s="39">
        <f t="shared" si="194"/>
        <v>0</v>
      </c>
      <c r="FZ77" s="660" t="e">
        <f t="shared" si="192"/>
        <v>#DIV/0!</v>
      </c>
      <c r="GA77" s="39">
        <f t="shared" si="83"/>
        <v>0</v>
      </c>
      <c r="GB77" s="485" t="e">
        <f t="shared" si="84"/>
        <v>#DIV/0!</v>
      </c>
      <c r="GC77" s="39">
        <v>0</v>
      </c>
      <c r="GD77" s="485" t="e">
        <f t="shared" si="85"/>
        <v>#DIV/0!</v>
      </c>
      <c r="GE77" s="82"/>
      <c r="GF77" s="498"/>
      <c r="GG77" s="82"/>
      <c r="GH77" s="498"/>
      <c r="GI77" s="90"/>
      <c r="GJ77" s="485"/>
      <c r="GK77" s="90"/>
      <c r="GL77" s="485"/>
      <c r="GM77" s="90"/>
      <c r="GN77" s="485"/>
      <c r="GO77" s="90"/>
      <c r="GP77" s="485"/>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c r="HX77" s="164"/>
      <c r="HY77" s="164"/>
      <c r="HZ77" s="164"/>
      <c r="IA77" s="164"/>
      <c r="IB77" s="164"/>
      <c r="IC77" s="164"/>
      <c r="ID77" s="164"/>
      <c r="IE77" s="169"/>
      <c r="IF77" s="170"/>
      <c r="IG77" s="170"/>
      <c r="IH77" s="170"/>
    </row>
    <row r="78" spans="2:242" s="184" customFormat="1" ht="142.5" hidden="1" customHeight="1" x14ac:dyDescent="0.25">
      <c r="B78" s="178" t="s">
        <v>173</v>
      </c>
      <c r="C78" s="176"/>
      <c r="D78" s="179"/>
      <c r="E78" s="180"/>
      <c r="F78" s="180"/>
      <c r="G78" s="180"/>
      <c r="H78" s="180"/>
      <c r="I78" s="180"/>
      <c r="J78" s="180"/>
      <c r="K78" s="180"/>
      <c r="L78" s="180"/>
      <c r="M78" s="180"/>
      <c r="N78" s="180"/>
      <c r="O78" s="180"/>
      <c r="P78" s="180"/>
      <c r="Q78" s="181"/>
      <c r="R78" s="181"/>
      <c r="S78" s="181"/>
      <c r="T78" s="181"/>
      <c r="U78" s="181"/>
      <c r="V78" s="181"/>
      <c r="W78" s="181"/>
      <c r="X78" s="181"/>
      <c r="Y78" s="181"/>
      <c r="Z78" s="181"/>
      <c r="AA78" s="181"/>
      <c r="AB78" s="181"/>
      <c r="AC78" s="181"/>
      <c r="AD78" s="181"/>
      <c r="AE78" s="181"/>
      <c r="AF78" s="181"/>
      <c r="AG78" s="181"/>
      <c r="AH78" s="181"/>
      <c r="AI78" s="182"/>
      <c r="AJ78" s="181"/>
      <c r="AK78" s="182"/>
      <c r="AL78" s="182"/>
      <c r="AM78" s="483"/>
      <c r="AN78" s="480"/>
      <c r="AO78" s="109"/>
      <c r="AP78" s="480"/>
      <c r="AQ78" s="480"/>
      <c r="AR78" s="480"/>
      <c r="AS78" s="181"/>
      <c r="AT78" s="181"/>
      <c r="AU78" s="181"/>
      <c r="AV78" s="181"/>
      <c r="AW78" s="181"/>
      <c r="AX78" s="181"/>
      <c r="AY78" s="181"/>
      <c r="AZ78" s="181"/>
      <c r="BA78" s="181"/>
      <c r="BB78" s="181"/>
      <c r="BC78" s="181"/>
      <c r="BD78" s="181"/>
      <c r="BE78" s="181"/>
      <c r="BF78" s="181"/>
      <c r="BG78" s="181"/>
      <c r="BH78" s="181"/>
      <c r="BI78" s="181"/>
      <c r="BJ78" s="181"/>
      <c r="BK78" s="110"/>
      <c r="BL78" s="106"/>
      <c r="BM78" s="106"/>
      <c r="BN78" s="106"/>
      <c r="BO78" s="106"/>
      <c r="BP78" s="106"/>
      <c r="BQ78" s="106"/>
      <c r="BR78" s="106"/>
      <c r="BS78" s="106"/>
      <c r="BT78" s="106"/>
      <c r="BU78" s="106"/>
      <c r="BV78" s="181"/>
      <c r="BW78" s="181"/>
      <c r="BX78" s="181"/>
      <c r="BY78" s="181"/>
      <c r="BZ78" s="181"/>
      <c r="CA78" s="181"/>
      <c r="CB78" s="181"/>
      <c r="CC78" s="181"/>
      <c r="CD78" s="181"/>
      <c r="CE78" s="106"/>
      <c r="CF78" s="106"/>
      <c r="CG78" s="181"/>
      <c r="CH78" s="181"/>
      <c r="CI78" s="181"/>
      <c r="CJ78" s="181"/>
      <c r="CK78" s="181"/>
      <c r="CL78" s="181"/>
      <c r="CM78" s="181"/>
      <c r="CN78" s="181"/>
      <c r="CO78" s="181"/>
      <c r="CP78" s="181"/>
      <c r="CQ78" s="181"/>
      <c r="CR78" s="181"/>
      <c r="CS78" s="181"/>
      <c r="CT78" s="181"/>
      <c r="CU78" s="181"/>
      <c r="CV78" s="181"/>
      <c r="CW78" s="181">
        <f>CX78</f>
        <v>15591.905629999999</v>
      </c>
      <c r="CX78" s="181">
        <f>CX79+CX80</f>
        <v>15591.905629999999</v>
      </c>
      <c r="CY78" s="181"/>
      <c r="CZ78" s="181"/>
      <c r="DA78" s="181"/>
      <c r="DB78" s="181"/>
      <c r="DC78" s="181"/>
      <c r="DD78" s="181"/>
      <c r="DE78" s="181"/>
      <c r="DF78" s="105">
        <f>DG78</f>
        <v>0</v>
      </c>
      <c r="DG78" s="106">
        <f>DG79+DG80</f>
        <v>0</v>
      </c>
      <c r="DH78" s="106"/>
      <c r="DI78" s="105">
        <f>DJ78</f>
        <v>15591.905629999999</v>
      </c>
      <c r="DJ78" s="106">
        <f>DJ79+DJ80</f>
        <v>15591.905629999999</v>
      </c>
      <c r="DK78" s="181"/>
      <c r="DL78" s="105">
        <f>DM78</f>
        <v>15591.905629999999</v>
      </c>
      <c r="DM78" s="106">
        <f>DM79+DM80</f>
        <v>15591.905629999999</v>
      </c>
      <c r="DN78" s="181"/>
      <c r="DO78" s="105">
        <f>DP78</f>
        <v>0</v>
      </c>
      <c r="DP78" s="105">
        <f>DP79</f>
        <v>0</v>
      </c>
      <c r="DQ78" s="105"/>
      <c r="DR78" s="105">
        <f>DS78</f>
        <v>0</v>
      </c>
      <c r="DS78" s="105">
        <f>DS79</f>
        <v>0</v>
      </c>
      <c r="DT78" s="181"/>
      <c r="DU78" s="181"/>
      <c r="DV78" s="181"/>
      <c r="DW78" s="181"/>
      <c r="DX78" s="181"/>
      <c r="DY78" s="181"/>
      <c r="DZ78" s="181"/>
      <c r="EA78" s="181"/>
      <c r="EB78" s="181"/>
      <c r="EC78" s="181"/>
      <c r="ED78" s="181"/>
      <c r="EE78" s="181"/>
      <c r="EF78" s="181"/>
      <c r="EG78" s="181">
        <f>EH78</f>
        <v>15000</v>
      </c>
      <c r="EH78" s="181">
        <f>EH79</f>
        <v>15000</v>
      </c>
      <c r="EI78" s="181"/>
      <c r="EJ78" s="181"/>
      <c r="EK78" s="181">
        <f>EL78</f>
        <v>-15000</v>
      </c>
      <c r="EL78" s="181">
        <f>EL79+EL87</f>
        <v>-15000</v>
      </c>
      <c r="EM78" s="181"/>
      <c r="EN78" s="181"/>
      <c r="EO78" s="181"/>
      <c r="EP78" s="181"/>
      <c r="EQ78" s="181"/>
      <c r="ER78" s="181"/>
      <c r="ES78" s="181">
        <f>ET78</f>
        <v>0</v>
      </c>
      <c r="ET78" s="181">
        <f>ET79+ET87</f>
        <v>0</v>
      </c>
      <c r="EU78" s="181"/>
      <c r="EV78" s="181"/>
      <c r="EW78" s="181"/>
      <c r="EX78" s="181"/>
      <c r="EY78" s="181"/>
      <c r="EZ78" s="181"/>
      <c r="FA78" s="181"/>
      <c r="FB78" s="181"/>
      <c r="FC78" s="104">
        <f>FD78</f>
        <v>0</v>
      </c>
      <c r="FD78" s="104">
        <f>FD79+FD80</f>
        <v>0</v>
      </c>
      <c r="FE78" s="180"/>
      <c r="FF78" s="180"/>
      <c r="FG78" s="180">
        <f>FH78</f>
        <v>0</v>
      </c>
      <c r="FH78" s="104">
        <f>FH79</f>
        <v>0</v>
      </c>
      <c r="FI78" s="180"/>
      <c r="FJ78" s="180"/>
      <c r="FK78" s="180"/>
      <c r="FL78" s="180"/>
      <c r="FM78" s="180"/>
      <c r="FN78" s="180"/>
      <c r="FO78" s="180">
        <f>FP78</f>
        <v>0</v>
      </c>
      <c r="FP78" s="180">
        <f>FP79</f>
        <v>0</v>
      </c>
      <c r="FQ78" s="180"/>
      <c r="FR78" s="180"/>
      <c r="FS78" s="629">
        <f t="shared" si="195"/>
        <v>0</v>
      </c>
      <c r="FT78" s="595" t="e">
        <f t="shared" si="81"/>
        <v>#DIV/0!</v>
      </c>
      <c r="FU78" s="629">
        <v>0</v>
      </c>
      <c r="FV78" s="595" t="e">
        <f t="shared" si="82"/>
        <v>#DIV/0!</v>
      </c>
      <c r="FW78" s="522">
        <f t="shared" si="193"/>
        <v>0</v>
      </c>
      <c r="FX78" s="666">
        <v>0</v>
      </c>
      <c r="FY78" s="629">
        <f t="shared" si="194"/>
        <v>0</v>
      </c>
      <c r="FZ78" s="666">
        <v>0</v>
      </c>
      <c r="GA78" s="629">
        <f t="shared" si="83"/>
        <v>0</v>
      </c>
      <c r="GB78" s="595" t="e">
        <f t="shared" si="84"/>
        <v>#DIV/0!</v>
      </c>
      <c r="GC78" s="629">
        <f>GC79+GC80</f>
        <v>0</v>
      </c>
      <c r="GD78" s="595" t="e">
        <f t="shared" si="85"/>
        <v>#DIV/0!</v>
      </c>
      <c r="GE78" s="522"/>
      <c r="GF78" s="514"/>
      <c r="GG78" s="522"/>
      <c r="GH78" s="514"/>
      <c r="GI78" s="629"/>
      <c r="GJ78" s="595"/>
      <c r="GK78" s="629"/>
      <c r="GL78" s="595"/>
      <c r="GM78" s="629"/>
      <c r="GN78" s="595"/>
      <c r="GO78" s="629"/>
      <c r="GP78" s="595"/>
      <c r="GQ78" s="181"/>
      <c r="GR78" s="181"/>
      <c r="GS78" s="181"/>
      <c r="GT78" s="181"/>
      <c r="GU78" s="106">
        <f>GV78</f>
        <v>0</v>
      </c>
      <c r="GV78" s="106">
        <f>GV79+GV80</f>
        <v>0</v>
      </c>
      <c r="GW78" s="181"/>
      <c r="GX78" s="181"/>
      <c r="GY78" s="181"/>
      <c r="GZ78" s="181"/>
      <c r="HA78" s="181"/>
      <c r="HB78" s="181"/>
      <c r="HC78" s="181"/>
      <c r="HD78" s="181"/>
      <c r="HE78" s="181"/>
      <c r="HF78" s="181"/>
      <c r="HG78" s="181"/>
      <c r="HH78" s="181"/>
      <c r="HI78" s="181"/>
      <c r="HJ78" s="181"/>
      <c r="HK78" s="181"/>
      <c r="HL78" s="181"/>
      <c r="HM78" s="181"/>
      <c r="HN78" s="181"/>
      <c r="HO78" s="181">
        <v>0</v>
      </c>
      <c r="HP78" s="181"/>
      <c r="HQ78" s="181"/>
      <c r="HR78" s="181"/>
      <c r="HS78" s="181"/>
      <c r="HT78" s="181"/>
      <c r="HU78" s="181"/>
      <c r="HV78" s="181"/>
      <c r="HW78" s="181"/>
      <c r="HX78" s="181"/>
      <c r="HY78" s="181"/>
      <c r="HZ78" s="181"/>
      <c r="IA78" s="181">
        <v>0</v>
      </c>
      <c r="IB78" s="181"/>
      <c r="IC78" s="181"/>
      <c r="ID78" s="181"/>
      <c r="IE78" s="196" t="s">
        <v>178</v>
      </c>
      <c r="IF78" s="183"/>
      <c r="IG78" s="183"/>
      <c r="IH78" s="183"/>
    </row>
    <row r="79" spans="2:242" s="171" customFormat="1" ht="33" hidden="1" customHeight="1" x14ac:dyDescent="0.25">
      <c r="B79" s="160"/>
      <c r="C79" s="161" t="s">
        <v>146</v>
      </c>
      <c r="D79" s="162"/>
      <c r="E79" s="163"/>
      <c r="F79" s="163"/>
      <c r="G79" s="163"/>
      <c r="H79" s="163"/>
      <c r="I79" s="163"/>
      <c r="J79" s="163"/>
      <c r="K79" s="163"/>
      <c r="L79" s="163"/>
      <c r="M79" s="163"/>
      <c r="N79" s="163"/>
      <c r="O79" s="163"/>
      <c r="P79" s="163"/>
      <c r="Q79" s="164"/>
      <c r="R79" s="164"/>
      <c r="S79" s="164"/>
      <c r="T79" s="164"/>
      <c r="U79" s="164"/>
      <c r="V79" s="164"/>
      <c r="W79" s="164"/>
      <c r="X79" s="164"/>
      <c r="Y79" s="164"/>
      <c r="Z79" s="164"/>
      <c r="AA79" s="164"/>
      <c r="AB79" s="164"/>
      <c r="AC79" s="164"/>
      <c r="AD79" s="164"/>
      <c r="AE79" s="164"/>
      <c r="AF79" s="164"/>
      <c r="AG79" s="164"/>
      <c r="AH79" s="164"/>
      <c r="AI79" s="165"/>
      <c r="AJ79" s="164"/>
      <c r="AK79" s="165"/>
      <c r="AL79" s="165"/>
      <c r="AM79" s="482"/>
      <c r="AN79" s="174"/>
      <c r="AO79" s="166"/>
      <c r="AP79" s="174"/>
      <c r="AQ79" s="174"/>
      <c r="AR79" s="174"/>
      <c r="AS79" s="164"/>
      <c r="AT79" s="164"/>
      <c r="AU79" s="164"/>
      <c r="AV79" s="164"/>
      <c r="AW79" s="164"/>
      <c r="AX79" s="164"/>
      <c r="AY79" s="164"/>
      <c r="AZ79" s="164"/>
      <c r="BA79" s="164"/>
      <c r="BB79" s="164"/>
      <c r="BC79" s="164"/>
      <c r="BD79" s="164"/>
      <c r="BE79" s="164"/>
      <c r="BF79" s="164"/>
      <c r="BG79" s="164"/>
      <c r="BH79" s="164"/>
      <c r="BI79" s="164"/>
      <c r="BJ79" s="164"/>
      <c r="BK79" s="167"/>
      <c r="BL79" s="168"/>
      <c r="BM79" s="168"/>
      <c r="BN79" s="168"/>
      <c r="BO79" s="168"/>
      <c r="BP79" s="168"/>
      <c r="BQ79" s="168"/>
      <c r="BR79" s="168"/>
      <c r="BS79" s="168"/>
      <c r="BT79" s="168"/>
      <c r="BU79" s="168"/>
      <c r="BV79" s="164"/>
      <c r="BW79" s="164"/>
      <c r="BX79" s="164"/>
      <c r="BY79" s="164"/>
      <c r="BZ79" s="164"/>
      <c r="CA79" s="164"/>
      <c r="CB79" s="164"/>
      <c r="CC79" s="164"/>
      <c r="CD79" s="164"/>
      <c r="CE79" s="168"/>
      <c r="CF79" s="168"/>
      <c r="CG79" s="164"/>
      <c r="CH79" s="164"/>
      <c r="CI79" s="164"/>
      <c r="CJ79" s="164"/>
      <c r="CK79" s="164"/>
      <c r="CL79" s="164"/>
      <c r="CM79" s="164"/>
      <c r="CN79" s="164"/>
      <c r="CO79" s="164"/>
      <c r="CP79" s="164"/>
      <c r="CQ79" s="164"/>
      <c r="CR79" s="164"/>
      <c r="CS79" s="164"/>
      <c r="CT79" s="164"/>
      <c r="CU79" s="164"/>
      <c r="CV79" s="164"/>
      <c r="CW79" s="164">
        <f>CX79</f>
        <v>15000</v>
      </c>
      <c r="CX79" s="164">
        <v>15000</v>
      </c>
      <c r="CY79" s="164"/>
      <c r="CZ79" s="164"/>
      <c r="DA79" s="164"/>
      <c r="DB79" s="164"/>
      <c r="DC79" s="164"/>
      <c r="DD79" s="164"/>
      <c r="DE79" s="164"/>
      <c r="DF79" s="144">
        <f>DG79</f>
        <v>0</v>
      </c>
      <c r="DG79" s="168">
        <f>DJ79-CX79</f>
        <v>0</v>
      </c>
      <c r="DH79" s="168"/>
      <c r="DI79" s="144">
        <f>DJ79</f>
        <v>15000</v>
      </c>
      <c r="DJ79" s="168">
        <v>15000</v>
      </c>
      <c r="DK79" s="164"/>
      <c r="DL79" s="144">
        <f>DM79</f>
        <v>15000</v>
      </c>
      <c r="DM79" s="168">
        <v>15000</v>
      </c>
      <c r="DN79" s="164"/>
      <c r="DO79" s="164">
        <f>DP79+DQ79</f>
        <v>0</v>
      </c>
      <c r="DP79" s="164">
        <v>0</v>
      </c>
      <c r="DQ79" s="164">
        <v>0</v>
      </c>
      <c r="DR79" s="164">
        <f>DS79+DT79</f>
        <v>0</v>
      </c>
      <c r="DS79" s="164">
        <f>DJ79-DM79</f>
        <v>0</v>
      </c>
      <c r="DT79" s="164"/>
      <c r="DU79" s="164"/>
      <c r="DV79" s="164"/>
      <c r="DW79" s="164"/>
      <c r="DX79" s="164"/>
      <c r="DY79" s="164"/>
      <c r="DZ79" s="164"/>
      <c r="EA79" s="164"/>
      <c r="EB79" s="164"/>
      <c r="EC79" s="164"/>
      <c r="ED79" s="164"/>
      <c r="EE79" s="164"/>
      <c r="EF79" s="164"/>
      <c r="EG79" s="164">
        <f>EH79</f>
        <v>15000</v>
      </c>
      <c r="EH79" s="164">
        <v>15000</v>
      </c>
      <c r="EI79" s="164"/>
      <c r="EJ79" s="164"/>
      <c r="EK79" s="164">
        <f>EL79</f>
        <v>-15000</v>
      </c>
      <c r="EL79" s="164">
        <f>ET79-EH79</f>
        <v>-15000</v>
      </c>
      <c r="EM79" s="164"/>
      <c r="EN79" s="164"/>
      <c r="EO79" s="164"/>
      <c r="EP79" s="164"/>
      <c r="EQ79" s="164"/>
      <c r="ER79" s="164"/>
      <c r="ES79" s="163">
        <f>ET79</f>
        <v>0</v>
      </c>
      <c r="ET79" s="164"/>
      <c r="EU79" s="164"/>
      <c r="EV79" s="164"/>
      <c r="EW79" s="164"/>
      <c r="EX79" s="164"/>
      <c r="EY79" s="164"/>
      <c r="EZ79" s="164"/>
      <c r="FA79" s="164"/>
      <c r="FB79" s="164"/>
      <c r="FC79" s="163">
        <f>FD79</f>
        <v>0</v>
      </c>
      <c r="FD79" s="163"/>
      <c r="FE79" s="163"/>
      <c r="FF79" s="163"/>
      <c r="FG79" s="163">
        <f>FH79</f>
        <v>0</v>
      </c>
      <c r="FH79" s="163">
        <f>FP79-FD79</f>
        <v>0</v>
      </c>
      <c r="FI79" s="163"/>
      <c r="FJ79" s="163"/>
      <c r="FK79" s="163"/>
      <c r="FL79" s="163"/>
      <c r="FM79" s="163"/>
      <c r="FN79" s="163"/>
      <c r="FO79" s="163">
        <f>FP79</f>
        <v>0</v>
      </c>
      <c r="FP79" s="163">
        <v>0</v>
      </c>
      <c r="FQ79" s="163"/>
      <c r="FR79" s="163"/>
      <c r="FS79" s="90">
        <f t="shared" si="195"/>
        <v>0</v>
      </c>
      <c r="FT79" s="518" t="e">
        <f t="shared" si="81"/>
        <v>#DIV/0!</v>
      </c>
      <c r="FU79" s="90">
        <v>0</v>
      </c>
      <c r="FV79" s="518" t="e">
        <f t="shared" si="82"/>
        <v>#DIV/0!</v>
      </c>
      <c r="FW79" s="87">
        <f t="shared" si="193"/>
        <v>0</v>
      </c>
      <c r="FX79" s="665">
        <v>0</v>
      </c>
      <c r="FY79" s="90">
        <f t="shared" si="194"/>
        <v>0</v>
      </c>
      <c r="FZ79" s="665">
        <v>0</v>
      </c>
      <c r="GA79" s="90">
        <f t="shared" si="83"/>
        <v>0</v>
      </c>
      <c r="GB79" s="518" t="e">
        <f t="shared" si="84"/>
        <v>#DIV/0!</v>
      </c>
      <c r="GC79" s="90">
        <v>0</v>
      </c>
      <c r="GD79" s="518" t="e">
        <f t="shared" si="85"/>
        <v>#DIV/0!</v>
      </c>
      <c r="GE79" s="87"/>
      <c r="GF79" s="515"/>
      <c r="GG79" s="87"/>
      <c r="GH79" s="515"/>
      <c r="GI79" s="90"/>
      <c r="GJ79" s="518"/>
      <c r="GK79" s="90"/>
      <c r="GL79" s="518"/>
      <c r="GM79" s="90"/>
      <c r="GN79" s="518"/>
      <c r="GO79" s="90"/>
      <c r="GP79" s="518"/>
      <c r="GQ79" s="164"/>
      <c r="GR79" s="164"/>
      <c r="GS79" s="164"/>
      <c r="GT79" s="164"/>
      <c r="GU79" s="164">
        <f>GV79</f>
        <v>0</v>
      </c>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c r="HX79" s="164"/>
      <c r="HY79" s="164"/>
      <c r="HZ79" s="164"/>
      <c r="IA79" s="164"/>
      <c r="IB79" s="164"/>
      <c r="IC79" s="164"/>
      <c r="ID79" s="164"/>
      <c r="IE79" s="185"/>
      <c r="IF79" s="170"/>
      <c r="IG79" s="170"/>
      <c r="IH79" s="170"/>
    </row>
    <row r="80" spans="2:242" s="171" customFormat="1" ht="48.75" hidden="1" customHeight="1" x14ac:dyDescent="0.25">
      <c r="B80" s="160"/>
      <c r="C80" s="161" t="s">
        <v>148</v>
      </c>
      <c r="D80" s="162"/>
      <c r="E80" s="163"/>
      <c r="F80" s="163"/>
      <c r="G80" s="163"/>
      <c r="H80" s="163"/>
      <c r="I80" s="163"/>
      <c r="J80" s="163"/>
      <c r="K80" s="163"/>
      <c r="L80" s="163"/>
      <c r="M80" s="163"/>
      <c r="N80" s="163"/>
      <c r="O80" s="163"/>
      <c r="P80" s="163"/>
      <c r="Q80" s="164"/>
      <c r="R80" s="164"/>
      <c r="S80" s="164"/>
      <c r="T80" s="164"/>
      <c r="U80" s="164"/>
      <c r="V80" s="164"/>
      <c r="W80" s="164"/>
      <c r="X80" s="164"/>
      <c r="Y80" s="164"/>
      <c r="Z80" s="164"/>
      <c r="AA80" s="164"/>
      <c r="AB80" s="164"/>
      <c r="AC80" s="164"/>
      <c r="AD80" s="164"/>
      <c r="AE80" s="164"/>
      <c r="AF80" s="164"/>
      <c r="AG80" s="164"/>
      <c r="AH80" s="164"/>
      <c r="AI80" s="165"/>
      <c r="AJ80" s="164"/>
      <c r="AK80" s="165"/>
      <c r="AL80" s="165"/>
      <c r="AM80" s="175"/>
      <c r="AN80" s="174"/>
      <c r="AO80" s="166"/>
      <c r="AP80" s="174"/>
      <c r="AQ80" s="174"/>
      <c r="AR80" s="174"/>
      <c r="AS80" s="164"/>
      <c r="AT80" s="164"/>
      <c r="AU80" s="164"/>
      <c r="AV80" s="164"/>
      <c r="AW80" s="164"/>
      <c r="AX80" s="164"/>
      <c r="AY80" s="164"/>
      <c r="AZ80" s="164"/>
      <c r="BA80" s="164"/>
      <c r="BB80" s="164"/>
      <c r="BC80" s="164"/>
      <c r="BD80" s="164"/>
      <c r="BE80" s="164"/>
      <c r="BF80" s="164"/>
      <c r="BG80" s="164"/>
      <c r="BH80" s="164"/>
      <c r="BI80" s="164"/>
      <c r="BJ80" s="164"/>
      <c r="BK80" s="167"/>
      <c r="BL80" s="168"/>
      <c r="BM80" s="168"/>
      <c r="BN80" s="168"/>
      <c r="BO80" s="168"/>
      <c r="BP80" s="168"/>
      <c r="BQ80" s="168"/>
      <c r="BR80" s="168"/>
      <c r="BS80" s="168"/>
      <c r="BT80" s="168"/>
      <c r="BU80" s="168"/>
      <c r="BV80" s="164"/>
      <c r="BW80" s="164"/>
      <c r="BX80" s="164"/>
      <c r="BY80" s="164"/>
      <c r="BZ80" s="164"/>
      <c r="CA80" s="164"/>
      <c r="CB80" s="164"/>
      <c r="CC80" s="164"/>
      <c r="CD80" s="164"/>
      <c r="CE80" s="168"/>
      <c r="CF80" s="168"/>
      <c r="CG80" s="164"/>
      <c r="CH80" s="164"/>
      <c r="CI80" s="164"/>
      <c r="CJ80" s="164"/>
      <c r="CK80" s="164"/>
      <c r="CL80" s="164"/>
      <c r="CM80" s="164"/>
      <c r="CN80" s="164"/>
      <c r="CO80" s="164"/>
      <c r="CP80" s="164"/>
      <c r="CQ80" s="164"/>
      <c r="CR80" s="164"/>
      <c r="CS80" s="164"/>
      <c r="CT80" s="164"/>
      <c r="CU80" s="164"/>
      <c r="CV80" s="164"/>
      <c r="CW80" s="164">
        <f>CX80+CY80</f>
        <v>591.90562999999997</v>
      </c>
      <c r="CX80" s="164">
        <v>591.90562999999997</v>
      </c>
      <c r="CY80" s="164"/>
      <c r="CZ80" s="164"/>
      <c r="DA80" s="164"/>
      <c r="DB80" s="164"/>
      <c r="DC80" s="164"/>
      <c r="DD80" s="164"/>
      <c r="DE80" s="164"/>
      <c r="DF80" s="164">
        <f>DG80+DH80</f>
        <v>0</v>
      </c>
      <c r="DG80" s="164">
        <f>DJ80-CX80</f>
        <v>0</v>
      </c>
      <c r="DH80" s="164"/>
      <c r="DI80" s="164">
        <f>DJ80+DK80</f>
        <v>591.90562999999997</v>
      </c>
      <c r="DJ80" s="164">
        <v>591.90562999999997</v>
      </c>
      <c r="DK80" s="164"/>
      <c r="DL80" s="164">
        <f>DM80+DN80</f>
        <v>591.90562999999997</v>
      </c>
      <c r="DM80" s="164">
        <v>591.90562999999997</v>
      </c>
      <c r="DN80" s="164"/>
      <c r="DO80" s="164">
        <f>DP80+DQ80</f>
        <v>0</v>
      </c>
      <c r="DP80" s="164"/>
      <c r="DQ80" s="164"/>
      <c r="DR80" s="164">
        <f>DS80+DT80</f>
        <v>0</v>
      </c>
      <c r="DS80" s="164">
        <f>DJ80-DM80</f>
        <v>0</v>
      </c>
      <c r="DT80" s="164"/>
      <c r="DU80" s="164"/>
      <c r="DV80" s="164"/>
      <c r="DW80" s="164"/>
      <c r="DX80" s="164"/>
      <c r="DY80" s="164"/>
      <c r="DZ80" s="164"/>
      <c r="EA80" s="164"/>
      <c r="EB80" s="164"/>
      <c r="EC80" s="164"/>
      <c r="ED80" s="164"/>
      <c r="EE80" s="164"/>
      <c r="EF80" s="164"/>
      <c r="EG80" s="164"/>
      <c r="EH80" s="164"/>
      <c r="EI80" s="164"/>
      <c r="EJ80" s="164"/>
      <c r="EK80" s="164">
        <f t="shared" ref="EK80:EK87" si="196">EL80</f>
        <v>0</v>
      </c>
      <c r="EL80" s="164"/>
      <c r="EM80" s="164"/>
      <c r="EN80" s="164"/>
      <c r="EO80" s="164"/>
      <c r="EP80" s="164"/>
      <c r="EQ80" s="164"/>
      <c r="ER80" s="164"/>
      <c r="ES80" s="163">
        <f t="shared" ref="ES80:ES87" si="197">ET80</f>
        <v>0</v>
      </c>
      <c r="ET80" s="164"/>
      <c r="EU80" s="164"/>
      <c r="EV80" s="164"/>
      <c r="EW80" s="164"/>
      <c r="EX80" s="164"/>
      <c r="EY80" s="164"/>
      <c r="EZ80" s="164"/>
      <c r="FA80" s="164"/>
      <c r="FB80" s="164"/>
      <c r="FC80" s="163">
        <f>FD80</f>
        <v>0</v>
      </c>
      <c r="FD80" s="163"/>
      <c r="FE80" s="163"/>
      <c r="FF80" s="163"/>
      <c r="FG80" s="163"/>
      <c r="FH80" s="163"/>
      <c r="FI80" s="163"/>
      <c r="FJ80" s="163"/>
      <c r="FK80" s="163"/>
      <c r="FL80" s="163"/>
      <c r="FM80" s="163"/>
      <c r="FN80" s="163"/>
      <c r="FO80" s="163"/>
      <c r="FP80" s="163"/>
      <c r="FQ80" s="163"/>
      <c r="FR80" s="163"/>
      <c r="FS80" s="39">
        <f t="shared" si="195"/>
        <v>0</v>
      </c>
      <c r="FT80" s="485" t="e">
        <f t="shared" si="81"/>
        <v>#DIV/0!</v>
      </c>
      <c r="FU80" s="39">
        <v>0</v>
      </c>
      <c r="FV80" s="485" t="e">
        <f t="shared" si="82"/>
        <v>#DIV/0!</v>
      </c>
      <c r="FW80" s="38">
        <f t="shared" si="193"/>
        <v>0</v>
      </c>
      <c r="FX80" s="660" t="e">
        <f t="shared" ref="FX80:FX87" si="198">FW80/FE80</f>
        <v>#DIV/0!</v>
      </c>
      <c r="FY80" s="39">
        <f t="shared" si="194"/>
        <v>0</v>
      </c>
      <c r="FZ80" s="660" t="e">
        <f t="shared" ref="FZ80:FZ87" si="199">FY80/FF80</f>
        <v>#DIV/0!</v>
      </c>
      <c r="GA80" s="39">
        <f t="shared" si="83"/>
        <v>0</v>
      </c>
      <c r="GB80" s="485" t="e">
        <f t="shared" si="84"/>
        <v>#DIV/0!</v>
      </c>
      <c r="GC80" s="39"/>
      <c r="GD80" s="485" t="e">
        <f t="shared" si="85"/>
        <v>#DIV/0!</v>
      </c>
      <c r="GE80" s="82"/>
      <c r="GF80" s="498"/>
      <c r="GG80" s="82"/>
      <c r="GH80" s="498"/>
      <c r="GI80" s="90"/>
      <c r="GJ80" s="485"/>
      <c r="GK80" s="90"/>
      <c r="GL80" s="485"/>
      <c r="GM80" s="90"/>
      <c r="GN80" s="485"/>
      <c r="GO80" s="90"/>
      <c r="GP80" s="485"/>
      <c r="GQ80" s="164"/>
      <c r="GR80" s="164"/>
      <c r="GS80" s="164"/>
      <c r="GT80" s="164"/>
      <c r="GU80" s="164">
        <f>GV80</f>
        <v>0</v>
      </c>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c r="HX80" s="164"/>
      <c r="HY80" s="164"/>
      <c r="HZ80" s="164"/>
      <c r="IA80" s="164"/>
      <c r="IB80" s="164"/>
      <c r="IC80" s="164"/>
      <c r="ID80" s="164"/>
      <c r="IE80" s="169"/>
      <c r="IF80" s="170"/>
      <c r="IG80" s="170"/>
      <c r="IH80" s="170"/>
    </row>
    <row r="81" spans="2:242" s="194" customFormat="1" ht="15" hidden="1" customHeight="1" x14ac:dyDescent="0.25">
      <c r="B81" s="178"/>
      <c r="C81" s="197"/>
      <c r="D81" s="187"/>
      <c r="E81" s="188"/>
      <c r="F81" s="188"/>
      <c r="G81" s="188"/>
      <c r="H81" s="188"/>
      <c r="I81" s="188"/>
      <c r="J81" s="188"/>
      <c r="K81" s="188"/>
      <c r="L81" s="188"/>
      <c r="M81" s="188"/>
      <c r="N81" s="188"/>
      <c r="O81" s="188"/>
      <c r="P81" s="188"/>
      <c r="Q81" s="189"/>
      <c r="R81" s="189"/>
      <c r="S81" s="189"/>
      <c r="T81" s="189"/>
      <c r="U81" s="189"/>
      <c r="V81" s="189"/>
      <c r="W81" s="189"/>
      <c r="X81" s="189"/>
      <c r="Y81" s="189"/>
      <c r="Z81" s="189"/>
      <c r="AA81" s="189"/>
      <c r="AB81" s="189"/>
      <c r="AC81" s="189"/>
      <c r="AD81" s="189"/>
      <c r="AE81" s="189"/>
      <c r="AF81" s="189"/>
      <c r="AG81" s="189"/>
      <c r="AH81" s="189"/>
      <c r="AI81" s="182"/>
      <c r="AJ81" s="189"/>
      <c r="AK81" s="182"/>
      <c r="AL81" s="182"/>
      <c r="AM81" s="190"/>
      <c r="AN81" s="191"/>
      <c r="AO81" s="109"/>
      <c r="AP81" s="191"/>
      <c r="AQ81" s="191"/>
      <c r="AR81" s="191"/>
      <c r="AS81" s="189"/>
      <c r="AT81" s="189"/>
      <c r="AU81" s="189"/>
      <c r="AV81" s="189"/>
      <c r="AW81" s="189"/>
      <c r="AX81" s="189"/>
      <c r="AY81" s="189"/>
      <c r="AZ81" s="189"/>
      <c r="BA81" s="189"/>
      <c r="BB81" s="189"/>
      <c r="BC81" s="189"/>
      <c r="BD81" s="189"/>
      <c r="BE81" s="189"/>
      <c r="BF81" s="189"/>
      <c r="BG81" s="189"/>
      <c r="BH81" s="189"/>
      <c r="BI81" s="189"/>
      <c r="BJ81" s="189"/>
      <c r="BK81" s="110"/>
      <c r="BL81" s="106"/>
      <c r="BM81" s="106"/>
      <c r="BN81" s="106"/>
      <c r="BO81" s="106"/>
      <c r="BP81" s="106"/>
      <c r="BQ81" s="106"/>
      <c r="BR81" s="106"/>
      <c r="BS81" s="106"/>
      <c r="BT81" s="106"/>
      <c r="BU81" s="106"/>
      <c r="BV81" s="189"/>
      <c r="BW81" s="189"/>
      <c r="BX81" s="189"/>
      <c r="BY81" s="189"/>
      <c r="BZ81" s="192"/>
      <c r="CA81" s="189"/>
      <c r="CB81" s="189"/>
      <c r="CC81" s="189"/>
      <c r="CD81" s="189"/>
      <c r="CE81" s="106"/>
      <c r="CF81" s="106"/>
      <c r="CG81" s="189"/>
      <c r="CH81" s="189"/>
      <c r="CI81" s="189"/>
      <c r="CJ81" s="189"/>
      <c r="CK81" s="189"/>
      <c r="CL81" s="189"/>
      <c r="CM81" s="189"/>
      <c r="CN81" s="189"/>
      <c r="CO81" s="189"/>
      <c r="CP81" s="189"/>
      <c r="CQ81" s="189"/>
      <c r="CR81" s="189"/>
      <c r="CS81" s="189"/>
      <c r="CT81" s="189"/>
      <c r="CU81" s="192"/>
      <c r="CV81" s="189"/>
      <c r="CW81" s="189"/>
      <c r="CX81" s="189"/>
      <c r="CY81" s="189"/>
      <c r="CZ81" s="189"/>
      <c r="DA81" s="189"/>
      <c r="DB81" s="189"/>
      <c r="DC81" s="189"/>
      <c r="DD81" s="189"/>
      <c r="DE81" s="189"/>
      <c r="DF81" s="189"/>
      <c r="DG81" s="189"/>
      <c r="DH81" s="189"/>
      <c r="DI81" s="189"/>
      <c r="DJ81" s="189"/>
      <c r="DK81" s="189"/>
      <c r="DL81" s="189"/>
      <c r="DM81" s="189"/>
      <c r="DN81" s="189"/>
      <c r="DO81" s="189"/>
      <c r="DP81" s="189"/>
      <c r="DQ81" s="189"/>
      <c r="DR81" s="189"/>
      <c r="DS81" s="189"/>
      <c r="DT81" s="189"/>
      <c r="DU81" s="189"/>
      <c r="DV81" s="189"/>
      <c r="DW81" s="189"/>
      <c r="DX81" s="189"/>
      <c r="DY81" s="189"/>
      <c r="DZ81" s="189"/>
      <c r="EA81" s="189"/>
      <c r="EB81" s="189"/>
      <c r="EC81" s="189"/>
      <c r="ED81" s="189"/>
      <c r="EE81" s="189"/>
      <c r="EF81" s="189"/>
      <c r="EG81" s="189"/>
      <c r="EH81" s="189"/>
      <c r="EI81" s="189"/>
      <c r="EJ81" s="189"/>
      <c r="EK81" s="164">
        <f t="shared" si="196"/>
        <v>0</v>
      </c>
      <c r="EL81" s="189"/>
      <c r="EM81" s="189"/>
      <c r="EN81" s="189"/>
      <c r="EO81" s="189"/>
      <c r="EP81" s="189"/>
      <c r="EQ81" s="189"/>
      <c r="ER81" s="189"/>
      <c r="ES81" s="163">
        <f t="shared" si="197"/>
        <v>0</v>
      </c>
      <c r="ET81" s="192"/>
      <c r="EU81" s="189"/>
      <c r="EV81" s="189"/>
      <c r="EW81" s="189"/>
      <c r="EX81" s="189"/>
      <c r="EY81" s="189"/>
      <c r="EZ81" s="189"/>
      <c r="FA81" s="189"/>
      <c r="FB81" s="189"/>
      <c r="FC81" s="188"/>
      <c r="FD81" s="188"/>
      <c r="FE81" s="188"/>
      <c r="FF81" s="188"/>
      <c r="FG81" s="188"/>
      <c r="FH81" s="188"/>
      <c r="FI81" s="188"/>
      <c r="FJ81" s="188"/>
      <c r="FK81" s="188"/>
      <c r="FL81" s="188"/>
      <c r="FM81" s="188"/>
      <c r="FN81" s="188"/>
      <c r="FO81" s="188"/>
      <c r="FP81" s="188"/>
      <c r="FQ81" s="188"/>
      <c r="FR81" s="188"/>
      <c r="FS81" s="39">
        <f t="shared" si="195"/>
        <v>0</v>
      </c>
      <c r="FT81" s="485" t="e">
        <f t="shared" si="81"/>
        <v>#DIV/0!</v>
      </c>
      <c r="FU81" s="39">
        <v>0</v>
      </c>
      <c r="FV81" s="485" t="e">
        <f t="shared" si="82"/>
        <v>#DIV/0!</v>
      </c>
      <c r="FW81" s="38">
        <f t="shared" si="193"/>
        <v>0</v>
      </c>
      <c r="FX81" s="660" t="e">
        <f t="shared" si="198"/>
        <v>#DIV/0!</v>
      </c>
      <c r="FY81" s="39">
        <f t="shared" si="194"/>
        <v>0</v>
      </c>
      <c r="FZ81" s="660" t="e">
        <f t="shared" si="199"/>
        <v>#DIV/0!</v>
      </c>
      <c r="GA81" s="39">
        <f t="shared" si="83"/>
        <v>0</v>
      </c>
      <c r="GB81" s="485" t="e">
        <f t="shared" si="84"/>
        <v>#DIV/0!</v>
      </c>
      <c r="GC81" s="39">
        <v>0</v>
      </c>
      <c r="GD81" s="485" t="e">
        <f t="shared" si="85"/>
        <v>#DIV/0!</v>
      </c>
      <c r="GE81" s="82"/>
      <c r="GF81" s="498"/>
      <c r="GG81" s="82"/>
      <c r="GH81" s="498"/>
      <c r="GI81" s="90"/>
      <c r="GJ81" s="485"/>
      <c r="GK81" s="90"/>
      <c r="GL81" s="485"/>
      <c r="GM81" s="90"/>
      <c r="GN81" s="485"/>
      <c r="GO81" s="90"/>
      <c r="GP81" s="485"/>
      <c r="GQ81" s="189"/>
      <c r="GR81" s="189"/>
      <c r="GS81" s="189"/>
      <c r="GT81" s="189"/>
      <c r="GU81" s="189"/>
      <c r="GV81" s="189"/>
      <c r="GW81" s="189"/>
      <c r="GX81" s="189"/>
      <c r="GY81" s="189"/>
      <c r="GZ81" s="189"/>
      <c r="HA81" s="189"/>
      <c r="HB81" s="189"/>
      <c r="HC81" s="189"/>
      <c r="HD81" s="189"/>
      <c r="HE81" s="189"/>
      <c r="HF81" s="189"/>
      <c r="HG81" s="189"/>
      <c r="HH81" s="189"/>
      <c r="HI81" s="189"/>
      <c r="HJ81" s="189"/>
      <c r="HK81" s="189"/>
      <c r="HL81" s="189"/>
      <c r="HM81" s="189"/>
      <c r="HN81" s="189"/>
      <c r="HO81" s="189"/>
      <c r="HP81" s="189"/>
      <c r="HQ81" s="189"/>
      <c r="HR81" s="189"/>
      <c r="HS81" s="189"/>
      <c r="HT81" s="189"/>
      <c r="HU81" s="189"/>
      <c r="HV81" s="189"/>
      <c r="HW81" s="189"/>
      <c r="HX81" s="189"/>
      <c r="HY81" s="189"/>
      <c r="HZ81" s="189"/>
      <c r="IA81" s="189"/>
      <c r="IB81" s="189"/>
      <c r="IC81" s="189"/>
      <c r="ID81" s="189"/>
      <c r="IE81" s="169"/>
      <c r="IF81" s="193"/>
      <c r="IG81" s="193"/>
      <c r="IH81" s="193"/>
    </row>
    <row r="82" spans="2:242" s="194" customFormat="1" ht="15" hidden="1" customHeight="1" x14ac:dyDescent="0.25">
      <c r="B82" s="178"/>
      <c r="C82" s="197"/>
      <c r="D82" s="187"/>
      <c r="E82" s="188"/>
      <c r="F82" s="188"/>
      <c r="G82" s="188"/>
      <c r="H82" s="188"/>
      <c r="I82" s="188"/>
      <c r="J82" s="188"/>
      <c r="K82" s="188"/>
      <c r="L82" s="188"/>
      <c r="M82" s="188"/>
      <c r="N82" s="188"/>
      <c r="O82" s="188"/>
      <c r="P82" s="188"/>
      <c r="Q82" s="189"/>
      <c r="R82" s="189"/>
      <c r="S82" s="189"/>
      <c r="T82" s="189"/>
      <c r="U82" s="189"/>
      <c r="V82" s="189"/>
      <c r="W82" s="189"/>
      <c r="X82" s="189"/>
      <c r="Y82" s="189"/>
      <c r="Z82" s="189"/>
      <c r="AA82" s="189"/>
      <c r="AB82" s="189"/>
      <c r="AC82" s="189"/>
      <c r="AD82" s="189"/>
      <c r="AE82" s="189"/>
      <c r="AF82" s="189"/>
      <c r="AG82" s="189"/>
      <c r="AH82" s="189"/>
      <c r="AI82" s="182"/>
      <c r="AJ82" s="189"/>
      <c r="AK82" s="182"/>
      <c r="AL82" s="182"/>
      <c r="AM82" s="190"/>
      <c r="AN82" s="191"/>
      <c r="AO82" s="109"/>
      <c r="AP82" s="191"/>
      <c r="AQ82" s="191"/>
      <c r="AR82" s="191"/>
      <c r="AS82" s="189"/>
      <c r="AT82" s="189"/>
      <c r="AU82" s="189"/>
      <c r="AV82" s="189"/>
      <c r="AW82" s="189"/>
      <c r="AX82" s="189"/>
      <c r="AY82" s="189"/>
      <c r="AZ82" s="189"/>
      <c r="BA82" s="189"/>
      <c r="BB82" s="189"/>
      <c r="BC82" s="189"/>
      <c r="BD82" s="189"/>
      <c r="BE82" s="189"/>
      <c r="BF82" s="189"/>
      <c r="BG82" s="189"/>
      <c r="BH82" s="189"/>
      <c r="BI82" s="189"/>
      <c r="BJ82" s="189"/>
      <c r="BK82" s="110"/>
      <c r="BL82" s="106"/>
      <c r="BM82" s="106"/>
      <c r="BN82" s="106"/>
      <c r="BO82" s="106"/>
      <c r="BP82" s="106"/>
      <c r="BQ82" s="106"/>
      <c r="BR82" s="106"/>
      <c r="BS82" s="106"/>
      <c r="BT82" s="106"/>
      <c r="BU82" s="106"/>
      <c r="BV82" s="189"/>
      <c r="BW82" s="189"/>
      <c r="BX82" s="189"/>
      <c r="BY82" s="189"/>
      <c r="BZ82" s="192"/>
      <c r="CA82" s="189"/>
      <c r="CB82" s="189"/>
      <c r="CC82" s="189"/>
      <c r="CD82" s="189"/>
      <c r="CE82" s="106"/>
      <c r="CF82" s="106"/>
      <c r="CG82" s="189"/>
      <c r="CH82" s="189"/>
      <c r="CI82" s="189"/>
      <c r="CJ82" s="189"/>
      <c r="CK82" s="189"/>
      <c r="CL82" s="189"/>
      <c r="CM82" s="189"/>
      <c r="CN82" s="189"/>
      <c r="CO82" s="189"/>
      <c r="CP82" s="189"/>
      <c r="CQ82" s="189"/>
      <c r="CR82" s="189"/>
      <c r="CS82" s="189"/>
      <c r="CT82" s="189"/>
      <c r="CU82" s="192"/>
      <c r="CV82" s="189"/>
      <c r="CW82" s="189"/>
      <c r="CX82" s="189"/>
      <c r="CY82" s="189"/>
      <c r="CZ82" s="189"/>
      <c r="DA82" s="189"/>
      <c r="DB82" s="189"/>
      <c r="DC82" s="189"/>
      <c r="DD82" s="189"/>
      <c r="DE82" s="189"/>
      <c r="DF82" s="189"/>
      <c r="DG82" s="189"/>
      <c r="DH82" s="189"/>
      <c r="DI82" s="189"/>
      <c r="DJ82" s="189"/>
      <c r="DK82" s="189"/>
      <c r="DL82" s="189"/>
      <c r="DM82" s="189"/>
      <c r="DN82" s="189"/>
      <c r="DO82" s="189"/>
      <c r="DP82" s="189"/>
      <c r="DQ82" s="189"/>
      <c r="DR82" s="189"/>
      <c r="DS82" s="189"/>
      <c r="DT82" s="189"/>
      <c r="DU82" s="189"/>
      <c r="DV82" s="189"/>
      <c r="DW82" s="189"/>
      <c r="DX82" s="189"/>
      <c r="DY82" s="189"/>
      <c r="DZ82" s="189"/>
      <c r="EA82" s="189"/>
      <c r="EB82" s="189"/>
      <c r="EC82" s="189"/>
      <c r="ED82" s="189"/>
      <c r="EE82" s="189"/>
      <c r="EF82" s="189"/>
      <c r="EG82" s="189"/>
      <c r="EH82" s="189"/>
      <c r="EI82" s="189"/>
      <c r="EJ82" s="189"/>
      <c r="EK82" s="164">
        <f t="shared" si="196"/>
        <v>0</v>
      </c>
      <c r="EL82" s="189"/>
      <c r="EM82" s="189"/>
      <c r="EN82" s="189"/>
      <c r="EO82" s="189"/>
      <c r="EP82" s="189"/>
      <c r="EQ82" s="189"/>
      <c r="ER82" s="189"/>
      <c r="ES82" s="163">
        <f t="shared" si="197"/>
        <v>0</v>
      </c>
      <c r="ET82" s="192"/>
      <c r="EU82" s="189"/>
      <c r="EV82" s="189"/>
      <c r="EW82" s="189"/>
      <c r="EX82" s="189"/>
      <c r="EY82" s="189"/>
      <c r="EZ82" s="189"/>
      <c r="FA82" s="189"/>
      <c r="FB82" s="189"/>
      <c r="FC82" s="188"/>
      <c r="FD82" s="188"/>
      <c r="FE82" s="188"/>
      <c r="FF82" s="188"/>
      <c r="FG82" s="188"/>
      <c r="FH82" s="188"/>
      <c r="FI82" s="188"/>
      <c r="FJ82" s="188"/>
      <c r="FK82" s="188"/>
      <c r="FL82" s="188"/>
      <c r="FM82" s="188"/>
      <c r="FN82" s="188"/>
      <c r="FO82" s="188"/>
      <c r="FP82" s="188"/>
      <c r="FQ82" s="188"/>
      <c r="FR82" s="188"/>
      <c r="FS82" s="39">
        <f t="shared" si="195"/>
        <v>0</v>
      </c>
      <c r="FT82" s="485" t="e">
        <f t="shared" si="81"/>
        <v>#DIV/0!</v>
      </c>
      <c r="FU82" s="39">
        <v>0</v>
      </c>
      <c r="FV82" s="485" t="e">
        <f t="shared" si="82"/>
        <v>#DIV/0!</v>
      </c>
      <c r="FW82" s="38">
        <f>FW353+FW384</f>
        <v>0</v>
      </c>
      <c r="FX82" s="660" t="e">
        <f t="shared" si="198"/>
        <v>#DIV/0!</v>
      </c>
      <c r="FY82" s="39">
        <f>FY353+FY384</f>
        <v>0</v>
      </c>
      <c r="FZ82" s="660" t="e">
        <f t="shared" si="199"/>
        <v>#DIV/0!</v>
      </c>
      <c r="GA82" s="39">
        <f t="shared" si="83"/>
        <v>0</v>
      </c>
      <c r="GB82" s="485" t="e">
        <f t="shared" si="84"/>
        <v>#DIV/0!</v>
      </c>
      <c r="GC82" s="39">
        <v>0</v>
      </c>
      <c r="GD82" s="485" t="e">
        <f t="shared" si="85"/>
        <v>#DIV/0!</v>
      </c>
      <c r="GE82" s="82"/>
      <c r="GF82" s="498"/>
      <c r="GG82" s="82"/>
      <c r="GH82" s="498"/>
      <c r="GI82" s="90"/>
      <c r="GJ82" s="485"/>
      <c r="GK82" s="90"/>
      <c r="GL82" s="485"/>
      <c r="GM82" s="90"/>
      <c r="GN82" s="485"/>
      <c r="GO82" s="90"/>
      <c r="GP82" s="485"/>
      <c r="GQ82" s="189"/>
      <c r="GR82" s="189"/>
      <c r="GS82" s="189"/>
      <c r="GT82" s="189"/>
      <c r="GU82" s="189"/>
      <c r="GV82" s="189"/>
      <c r="GW82" s="189"/>
      <c r="GX82" s="189"/>
      <c r="GY82" s="189"/>
      <c r="GZ82" s="189"/>
      <c r="HA82" s="189"/>
      <c r="HB82" s="189"/>
      <c r="HC82" s="189"/>
      <c r="HD82" s="189"/>
      <c r="HE82" s="189"/>
      <c r="HF82" s="189"/>
      <c r="HG82" s="189"/>
      <c r="HH82" s="189"/>
      <c r="HI82" s="189"/>
      <c r="HJ82" s="189"/>
      <c r="HK82" s="189"/>
      <c r="HL82" s="189"/>
      <c r="HM82" s="189"/>
      <c r="HN82" s="189"/>
      <c r="HO82" s="189"/>
      <c r="HP82" s="189"/>
      <c r="HQ82" s="189"/>
      <c r="HR82" s="189"/>
      <c r="HS82" s="189"/>
      <c r="HT82" s="189"/>
      <c r="HU82" s="189"/>
      <c r="HV82" s="189"/>
      <c r="HW82" s="189"/>
      <c r="HX82" s="189"/>
      <c r="HY82" s="189"/>
      <c r="HZ82" s="189"/>
      <c r="IA82" s="189"/>
      <c r="IB82" s="189"/>
      <c r="IC82" s="189"/>
      <c r="ID82" s="189"/>
      <c r="IE82" s="169"/>
      <c r="IF82" s="193"/>
      <c r="IG82" s="193"/>
      <c r="IH82" s="193"/>
    </row>
    <row r="83" spans="2:242" s="194" customFormat="1" ht="15" hidden="1" customHeight="1" x14ac:dyDescent="0.25">
      <c r="B83" s="178"/>
      <c r="C83" s="197"/>
      <c r="D83" s="187"/>
      <c r="E83" s="188"/>
      <c r="F83" s="188"/>
      <c r="G83" s="188"/>
      <c r="H83" s="188"/>
      <c r="I83" s="188"/>
      <c r="J83" s="188"/>
      <c r="K83" s="188"/>
      <c r="L83" s="188"/>
      <c r="M83" s="188"/>
      <c r="N83" s="188"/>
      <c r="O83" s="188"/>
      <c r="P83" s="188"/>
      <c r="Q83" s="189"/>
      <c r="R83" s="189"/>
      <c r="S83" s="189"/>
      <c r="T83" s="189"/>
      <c r="U83" s="189"/>
      <c r="V83" s="189"/>
      <c r="W83" s="189"/>
      <c r="X83" s="189"/>
      <c r="Y83" s="189"/>
      <c r="Z83" s="189"/>
      <c r="AA83" s="189"/>
      <c r="AB83" s="189"/>
      <c r="AC83" s="189"/>
      <c r="AD83" s="189"/>
      <c r="AE83" s="189"/>
      <c r="AF83" s="189"/>
      <c r="AG83" s="189"/>
      <c r="AH83" s="189"/>
      <c r="AI83" s="182"/>
      <c r="AJ83" s="189"/>
      <c r="AK83" s="182"/>
      <c r="AL83" s="182"/>
      <c r="AM83" s="190"/>
      <c r="AN83" s="191"/>
      <c r="AO83" s="109"/>
      <c r="AP83" s="191"/>
      <c r="AQ83" s="191"/>
      <c r="AR83" s="191"/>
      <c r="AS83" s="189"/>
      <c r="AT83" s="189"/>
      <c r="AU83" s="189"/>
      <c r="AV83" s="189"/>
      <c r="AW83" s="189"/>
      <c r="AX83" s="189"/>
      <c r="AY83" s="189"/>
      <c r="AZ83" s="189"/>
      <c r="BA83" s="189"/>
      <c r="BB83" s="189"/>
      <c r="BC83" s="189"/>
      <c r="BD83" s="189"/>
      <c r="BE83" s="189"/>
      <c r="BF83" s="189"/>
      <c r="BG83" s="189"/>
      <c r="BH83" s="189"/>
      <c r="BI83" s="189"/>
      <c r="BJ83" s="189"/>
      <c r="BK83" s="110"/>
      <c r="BL83" s="106"/>
      <c r="BM83" s="106"/>
      <c r="BN83" s="106"/>
      <c r="BO83" s="106"/>
      <c r="BP83" s="106"/>
      <c r="BQ83" s="106"/>
      <c r="BR83" s="106"/>
      <c r="BS83" s="106"/>
      <c r="BT83" s="106"/>
      <c r="BU83" s="106"/>
      <c r="BV83" s="189"/>
      <c r="BW83" s="189"/>
      <c r="BX83" s="189"/>
      <c r="BY83" s="189"/>
      <c r="BZ83" s="192"/>
      <c r="CA83" s="189"/>
      <c r="CB83" s="189"/>
      <c r="CC83" s="189"/>
      <c r="CD83" s="189"/>
      <c r="CE83" s="106"/>
      <c r="CF83" s="106"/>
      <c r="CG83" s="189"/>
      <c r="CH83" s="189"/>
      <c r="CI83" s="189"/>
      <c r="CJ83" s="189"/>
      <c r="CK83" s="189"/>
      <c r="CL83" s="189"/>
      <c r="CM83" s="189"/>
      <c r="CN83" s="189"/>
      <c r="CO83" s="189"/>
      <c r="CP83" s="189"/>
      <c r="CQ83" s="189"/>
      <c r="CR83" s="189"/>
      <c r="CS83" s="189"/>
      <c r="CT83" s="189"/>
      <c r="CU83" s="192"/>
      <c r="CV83" s="189"/>
      <c r="CW83" s="189"/>
      <c r="CX83" s="189"/>
      <c r="CY83" s="189"/>
      <c r="CZ83" s="189"/>
      <c r="DA83" s="189"/>
      <c r="DB83" s="189"/>
      <c r="DC83" s="189"/>
      <c r="DD83" s="189"/>
      <c r="DE83" s="189"/>
      <c r="DF83" s="189"/>
      <c r="DG83" s="189"/>
      <c r="DH83" s="189"/>
      <c r="DI83" s="189"/>
      <c r="DJ83" s="189"/>
      <c r="DK83" s="189"/>
      <c r="DL83" s="189"/>
      <c r="DM83" s="189"/>
      <c r="DN83" s="189"/>
      <c r="DO83" s="189"/>
      <c r="DP83" s="189"/>
      <c r="DQ83" s="189"/>
      <c r="DR83" s="189"/>
      <c r="DS83" s="189"/>
      <c r="DT83" s="189"/>
      <c r="DU83" s="189"/>
      <c r="DV83" s="189"/>
      <c r="DW83" s="189"/>
      <c r="DX83" s="189"/>
      <c r="DY83" s="189"/>
      <c r="DZ83" s="189"/>
      <c r="EA83" s="189"/>
      <c r="EB83" s="189"/>
      <c r="EC83" s="189"/>
      <c r="ED83" s="189"/>
      <c r="EE83" s="189"/>
      <c r="EF83" s="189"/>
      <c r="EG83" s="189"/>
      <c r="EH83" s="189"/>
      <c r="EI83" s="189"/>
      <c r="EJ83" s="189"/>
      <c r="EK83" s="164">
        <f t="shared" si="196"/>
        <v>0</v>
      </c>
      <c r="EL83" s="189"/>
      <c r="EM83" s="189"/>
      <c r="EN83" s="189"/>
      <c r="EO83" s="189"/>
      <c r="EP83" s="189"/>
      <c r="EQ83" s="189"/>
      <c r="ER83" s="189"/>
      <c r="ES83" s="163">
        <f t="shared" si="197"/>
        <v>0</v>
      </c>
      <c r="ET83" s="192"/>
      <c r="EU83" s="189"/>
      <c r="EV83" s="189"/>
      <c r="EW83" s="189"/>
      <c r="EX83" s="189"/>
      <c r="EY83" s="189"/>
      <c r="EZ83" s="189"/>
      <c r="FA83" s="189"/>
      <c r="FB83" s="189"/>
      <c r="FC83" s="188"/>
      <c r="FD83" s="188"/>
      <c r="FE83" s="188"/>
      <c r="FF83" s="188"/>
      <c r="FG83" s="188"/>
      <c r="FH83" s="188"/>
      <c r="FI83" s="188"/>
      <c r="FJ83" s="188"/>
      <c r="FK83" s="188"/>
      <c r="FL83" s="188"/>
      <c r="FM83" s="188"/>
      <c r="FN83" s="188"/>
      <c r="FO83" s="188"/>
      <c r="FP83" s="188"/>
      <c r="FQ83" s="188"/>
      <c r="FR83" s="188"/>
      <c r="FS83" s="39">
        <f t="shared" si="195"/>
        <v>260216.56257999997</v>
      </c>
      <c r="FT83" s="485" t="e">
        <f t="shared" si="81"/>
        <v>#DIV/0!</v>
      </c>
      <c r="FU83" s="39">
        <v>0</v>
      </c>
      <c r="FV83" s="485" t="e">
        <f t="shared" si="82"/>
        <v>#DIV/0!</v>
      </c>
      <c r="FW83" s="38">
        <f>FW354+FW385</f>
        <v>255991.56257999997</v>
      </c>
      <c r="FX83" s="660" t="e">
        <f t="shared" si="198"/>
        <v>#DIV/0!</v>
      </c>
      <c r="FY83" s="39">
        <f>FY354+FY385</f>
        <v>4225</v>
      </c>
      <c r="FZ83" s="660" t="e">
        <f t="shared" si="199"/>
        <v>#DIV/0!</v>
      </c>
      <c r="GA83" s="39">
        <f t="shared" si="83"/>
        <v>0</v>
      </c>
      <c r="GB83" s="485" t="e">
        <f t="shared" si="84"/>
        <v>#DIV/0!</v>
      </c>
      <c r="GC83" s="39">
        <v>0</v>
      </c>
      <c r="GD83" s="485" t="e">
        <f t="shared" si="85"/>
        <v>#DIV/0!</v>
      </c>
      <c r="GE83" s="82"/>
      <c r="GF83" s="498"/>
      <c r="GG83" s="82"/>
      <c r="GH83" s="498"/>
      <c r="GI83" s="90"/>
      <c r="GJ83" s="485"/>
      <c r="GK83" s="90"/>
      <c r="GL83" s="485"/>
      <c r="GM83" s="90"/>
      <c r="GN83" s="485"/>
      <c r="GO83" s="90"/>
      <c r="GP83" s="485"/>
      <c r="GQ83" s="189"/>
      <c r="GR83" s="189"/>
      <c r="GS83" s="189"/>
      <c r="GT83" s="189"/>
      <c r="GU83" s="189"/>
      <c r="GV83" s="189"/>
      <c r="GW83" s="189"/>
      <c r="GX83" s="189"/>
      <c r="GY83" s="189"/>
      <c r="GZ83" s="189"/>
      <c r="HA83" s="189"/>
      <c r="HB83" s="189"/>
      <c r="HC83" s="189"/>
      <c r="HD83" s="189"/>
      <c r="HE83" s="189"/>
      <c r="HF83" s="189"/>
      <c r="HG83" s="189"/>
      <c r="HH83" s="189"/>
      <c r="HI83" s="189"/>
      <c r="HJ83" s="189"/>
      <c r="HK83" s="189"/>
      <c r="HL83" s="189"/>
      <c r="HM83" s="189"/>
      <c r="HN83" s="189"/>
      <c r="HO83" s="189"/>
      <c r="HP83" s="189"/>
      <c r="HQ83" s="189"/>
      <c r="HR83" s="189"/>
      <c r="HS83" s="189"/>
      <c r="HT83" s="189"/>
      <c r="HU83" s="189"/>
      <c r="HV83" s="189"/>
      <c r="HW83" s="189"/>
      <c r="HX83" s="189"/>
      <c r="HY83" s="189"/>
      <c r="HZ83" s="189"/>
      <c r="IA83" s="189"/>
      <c r="IB83" s="189"/>
      <c r="IC83" s="189"/>
      <c r="ID83" s="189"/>
      <c r="IE83" s="169"/>
      <c r="IF83" s="193"/>
      <c r="IG83" s="193"/>
      <c r="IH83" s="193"/>
    </row>
    <row r="84" spans="2:242" s="194" customFormat="1" ht="15" hidden="1" customHeight="1" x14ac:dyDescent="0.25">
      <c r="B84" s="178"/>
      <c r="C84" s="197"/>
      <c r="D84" s="187"/>
      <c r="E84" s="188"/>
      <c r="F84" s="188"/>
      <c r="G84" s="188"/>
      <c r="H84" s="188"/>
      <c r="I84" s="188"/>
      <c r="J84" s="188"/>
      <c r="K84" s="188"/>
      <c r="L84" s="188"/>
      <c r="M84" s="188"/>
      <c r="N84" s="188"/>
      <c r="O84" s="188"/>
      <c r="P84" s="188"/>
      <c r="Q84" s="189"/>
      <c r="R84" s="189"/>
      <c r="S84" s="189"/>
      <c r="T84" s="189"/>
      <c r="U84" s="189"/>
      <c r="V84" s="189"/>
      <c r="W84" s="189"/>
      <c r="X84" s="189"/>
      <c r="Y84" s="189"/>
      <c r="Z84" s="189"/>
      <c r="AA84" s="189"/>
      <c r="AB84" s="189"/>
      <c r="AC84" s="189"/>
      <c r="AD84" s="189"/>
      <c r="AE84" s="189"/>
      <c r="AF84" s="189"/>
      <c r="AG84" s="189"/>
      <c r="AH84" s="189"/>
      <c r="AI84" s="182"/>
      <c r="AJ84" s="189"/>
      <c r="AK84" s="182"/>
      <c r="AL84" s="182"/>
      <c r="AM84" s="190"/>
      <c r="AN84" s="191"/>
      <c r="AO84" s="109"/>
      <c r="AP84" s="191"/>
      <c r="AQ84" s="191"/>
      <c r="AR84" s="191"/>
      <c r="AS84" s="189"/>
      <c r="AT84" s="189"/>
      <c r="AU84" s="189"/>
      <c r="AV84" s="189"/>
      <c r="AW84" s="189"/>
      <c r="AX84" s="189"/>
      <c r="AY84" s="189"/>
      <c r="AZ84" s="189"/>
      <c r="BA84" s="189"/>
      <c r="BB84" s="189"/>
      <c r="BC84" s="189"/>
      <c r="BD84" s="189"/>
      <c r="BE84" s="189"/>
      <c r="BF84" s="189"/>
      <c r="BG84" s="189"/>
      <c r="BH84" s="189"/>
      <c r="BI84" s="189"/>
      <c r="BJ84" s="189"/>
      <c r="BK84" s="110"/>
      <c r="BL84" s="106"/>
      <c r="BM84" s="106"/>
      <c r="BN84" s="106"/>
      <c r="BO84" s="106"/>
      <c r="BP84" s="106"/>
      <c r="BQ84" s="106"/>
      <c r="BR84" s="106"/>
      <c r="BS84" s="106"/>
      <c r="BT84" s="106"/>
      <c r="BU84" s="106"/>
      <c r="BV84" s="189"/>
      <c r="BW84" s="189"/>
      <c r="BX84" s="189"/>
      <c r="BY84" s="189"/>
      <c r="BZ84" s="192"/>
      <c r="CA84" s="189"/>
      <c r="CB84" s="189"/>
      <c r="CC84" s="189"/>
      <c r="CD84" s="189"/>
      <c r="CE84" s="106"/>
      <c r="CF84" s="106"/>
      <c r="CG84" s="189"/>
      <c r="CH84" s="189"/>
      <c r="CI84" s="189"/>
      <c r="CJ84" s="189"/>
      <c r="CK84" s="189"/>
      <c r="CL84" s="189"/>
      <c r="CM84" s="189"/>
      <c r="CN84" s="189"/>
      <c r="CO84" s="189"/>
      <c r="CP84" s="189"/>
      <c r="CQ84" s="189"/>
      <c r="CR84" s="189"/>
      <c r="CS84" s="189"/>
      <c r="CT84" s="189"/>
      <c r="CU84" s="192"/>
      <c r="CV84" s="189"/>
      <c r="CW84" s="189"/>
      <c r="CX84" s="189"/>
      <c r="CY84" s="189"/>
      <c r="CZ84" s="189"/>
      <c r="DA84" s="189"/>
      <c r="DB84" s="189"/>
      <c r="DC84" s="189"/>
      <c r="DD84" s="189"/>
      <c r="DE84" s="189"/>
      <c r="DF84" s="189"/>
      <c r="DG84" s="189"/>
      <c r="DH84" s="189"/>
      <c r="DI84" s="189"/>
      <c r="DJ84" s="189"/>
      <c r="DK84" s="189"/>
      <c r="DL84" s="189"/>
      <c r="DM84" s="189"/>
      <c r="DN84" s="189"/>
      <c r="DO84" s="189"/>
      <c r="DP84" s="189"/>
      <c r="DQ84" s="189"/>
      <c r="DR84" s="189"/>
      <c r="DS84" s="189"/>
      <c r="DT84" s="189"/>
      <c r="DU84" s="189"/>
      <c r="DV84" s="189"/>
      <c r="DW84" s="189"/>
      <c r="DX84" s="189"/>
      <c r="DY84" s="189"/>
      <c r="DZ84" s="189"/>
      <c r="EA84" s="189"/>
      <c r="EB84" s="189"/>
      <c r="EC84" s="189"/>
      <c r="ED84" s="189"/>
      <c r="EE84" s="189"/>
      <c r="EF84" s="189"/>
      <c r="EG84" s="189"/>
      <c r="EH84" s="189"/>
      <c r="EI84" s="189"/>
      <c r="EJ84" s="189"/>
      <c r="EK84" s="164">
        <f t="shared" si="196"/>
        <v>0</v>
      </c>
      <c r="EL84" s="189"/>
      <c r="EM84" s="189"/>
      <c r="EN84" s="189"/>
      <c r="EO84" s="189"/>
      <c r="EP84" s="189"/>
      <c r="EQ84" s="189"/>
      <c r="ER84" s="189"/>
      <c r="ES84" s="163">
        <f t="shared" si="197"/>
        <v>0</v>
      </c>
      <c r="ET84" s="192"/>
      <c r="EU84" s="189"/>
      <c r="EV84" s="189"/>
      <c r="EW84" s="189"/>
      <c r="EX84" s="189"/>
      <c r="EY84" s="189"/>
      <c r="EZ84" s="189"/>
      <c r="FA84" s="189"/>
      <c r="FB84" s="189"/>
      <c r="FC84" s="188"/>
      <c r="FD84" s="188"/>
      <c r="FE84" s="188"/>
      <c r="FF84" s="188"/>
      <c r="FG84" s="188"/>
      <c r="FH84" s="188"/>
      <c r="FI84" s="188"/>
      <c r="FJ84" s="188"/>
      <c r="FK84" s="188"/>
      <c r="FL84" s="188"/>
      <c r="FM84" s="188"/>
      <c r="FN84" s="188"/>
      <c r="FO84" s="188"/>
      <c r="FP84" s="188"/>
      <c r="FQ84" s="188"/>
      <c r="FR84" s="188"/>
      <c r="FS84" s="39">
        <f t="shared" si="195"/>
        <v>895654.52083000005</v>
      </c>
      <c r="FT84" s="485" t="e">
        <f t="shared" si="81"/>
        <v>#DIV/0!</v>
      </c>
      <c r="FU84" s="39">
        <v>0</v>
      </c>
      <c r="FV84" s="485" t="e">
        <f t="shared" si="82"/>
        <v>#DIV/0!</v>
      </c>
      <c r="FW84" s="38">
        <f>FW355+FW386</f>
        <v>276081.24210999999</v>
      </c>
      <c r="FX84" s="660" t="e">
        <f t="shared" si="198"/>
        <v>#DIV/0!</v>
      </c>
      <c r="FY84" s="39">
        <f>FY355+FY386</f>
        <v>619573.27872000006</v>
      </c>
      <c r="FZ84" s="660" t="e">
        <f t="shared" si="199"/>
        <v>#DIV/0!</v>
      </c>
      <c r="GA84" s="39">
        <f t="shared" si="83"/>
        <v>0</v>
      </c>
      <c r="GB84" s="485" t="e">
        <f t="shared" si="84"/>
        <v>#DIV/0!</v>
      </c>
      <c r="GC84" s="39">
        <v>0</v>
      </c>
      <c r="GD84" s="485" t="e">
        <f t="shared" si="85"/>
        <v>#DIV/0!</v>
      </c>
      <c r="GE84" s="82"/>
      <c r="GF84" s="498"/>
      <c r="GG84" s="82"/>
      <c r="GH84" s="498"/>
      <c r="GI84" s="90"/>
      <c r="GJ84" s="485"/>
      <c r="GK84" s="90"/>
      <c r="GL84" s="485"/>
      <c r="GM84" s="90"/>
      <c r="GN84" s="485"/>
      <c r="GO84" s="90"/>
      <c r="GP84" s="485"/>
      <c r="GQ84" s="189"/>
      <c r="GR84" s="189"/>
      <c r="GS84" s="189"/>
      <c r="GT84" s="189"/>
      <c r="GU84" s="189"/>
      <c r="GV84" s="189"/>
      <c r="GW84" s="189"/>
      <c r="GX84" s="189"/>
      <c r="GY84" s="189"/>
      <c r="GZ84" s="189"/>
      <c r="HA84" s="189"/>
      <c r="HB84" s="189"/>
      <c r="HC84" s="189"/>
      <c r="HD84" s="189"/>
      <c r="HE84" s="189"/>
      <c r="HF84" s="189"/>
      <c r="HG84" s="189"/>
      <c r="HH84" s="189"/>
      <c r="HI84" s="189"/>
      <c r="HJ84" s="189"/>
      <c r="HK84" s="189"/>
      <c r="HL84" s="189"/>
      <c r="HM84" s="189"/>
      <c r="HN84" s="189"/>
      <c r="HO84" s="189"/>
      <c r="HP84" s="189"/>
      <c r="HQ84" s="189"/>
      <c r="HR84" s="189"/>
      <c r="HS84" s="189"/>
      <c r="HT84" s="189"/>
      <c r="HU84" s="189"/>
      <c r="HV84" s="189"/>
      <c r="HW84" s="189"/>
      <c r="HX84" s="189"/>
      <c r="HY84" s="189"/>
      <c r="HZ84" s="189"/>
      <c r="IA84" s="189"/>
      <c r="IB84" s="189"/>
      <c r="IC84" s="189"/>
      <c r="ID84" s="189"/>
      <c r="IE84" s="169"/>
      <c r="IF84" s="193"/>
      <c r="IG84" s="193"/>
      <c r="IH84" s="193"/>
    </row>
    <row r="85" spans="2:242" s="194" customFormat="1" ht="15" hidden="1" customHeight="1" x14ac:dyDescent="0.25">
      <c r="B85" s="178"/>
      <c r="C85" s="197"/>
      <c r="D85" s="187"/>
      <c r="E85" s="188"/>
      <c r="F85" s="188"/>
      <c r="G85" s="188"/>
      <c r="H85" s="188"/>
      <c r="I85" s="188"/>
      <c r="J85" s="188"/>
      <c r="K85" s="188"/>
      <c r="L85" s="188"/>
      <c r="M85" s="188"/>
      <c r="N85" s="188"/>
      <c r="O85" s="188"/>
      <c r="P85" s="188"/>
      <c r="Q85" s="189"/>
      <c r="R85" s="189"/>
      <c r="S85" s="189"/>
      <c r="T85" s="189"/>
      <c r="U85" s="189"/>
      <c r="V85" s="189"/>
      <c r="W85" s="189"/>
      <c r="X85" s="189"/>
      <c r="Y85" s="189"/>
      <c r="Z85" s="189"/>
      <c r="AA85" s="189"/>
      <c r="AB85" s="189"/>
      <c r="AC85" s="189"/>
      <c r="AD85" s="189"/>
      <c r="AE85" s="189"/>
      <c r="AF85" s="189"/>
      <c r="AG85" s="189"/>
      <c r="AH85" s="189"/>
      <c r="AI85" s="182"/>
      <c r="AJ85" s="189"/>
      <c r="AK85" s="182"/>
      <c r="AL85" s="182"/>
      <c r="AM85" s="190"/>
      <c r="AN85" s="191"/>
      <c r="AO85" s="109"/>
      <c r="AP85" s="191"/>
      <c r="AQ85" s="191"/>
      <c r="AR85" s="191"/>
      <c r="AS85" s="189"/>
      <c r="AT85" s="189"/>
      <c r="AU85" s="189"/>
      <c r="AV85" s="189"/>
      <c r="AW85" s="189"/>
      <c r="AX85" s="189"/>
      <c r="AY85" s="189"/>
      <c r="AZ85" s="189"/>
      <c r="BA85" s="189"/>
      <c r="BB85" s="189"/>
      <c r="BC85" s="189"/>
      <c r="BD85" s="189"/>
      <c r="BE85" s="189"/>
      <c r="BF85" s="189"/>
      <c r="BG85" s="189"/>
      <c r="BH85" s="189"/>
      <c r="BI85" s="189"/>
      <c r="BJ85" s="189"/>
      <c r="BK85" s="110"/>
      <c r="BL85" s="106"/>
      <c r="BM85" s="106"/>
      <c r="BN85" s="106"/>
      <c r="BO85" s="106"/>
      <c r="BP85" s="106"/>
      <c r="BQ85" s="106"/>
      <c r="BR85" s="106"/>
      <c r="BS85" s="106"/>
      <c r="BT85" s="106"/>
      <c r="BU85" s="106"/>
      <c r="BV85" s="189"/>
      <c r="BW85" s="189"/>
      <c r="BX85" s="189"/>
      <c r="BY85" s="189"/>
      <c r="BZ85" s="192"/>
      <c r="CA85" s="189"/>
      <c r="CB85" s="189"/>
      <c r="CC85" s="189"/>
      <c r="CD85" s="189"/>
      <c r="CE85" s="106"/>
      <c r="CF85" s="106"/>
      <c r="CG85" s="189"/>
      <c r="CH85" s="189"/>
      <c r="CI85" s="189"/>
      <c r="CJ85" s="189"/>
      <c r="CK85" s="189"/>
      <c r="CL85" s="189"/>
      <c r="CM85" s="189"/>
      <c r="CN85" s="189"/>
      <c r="CO85" s="189"/>
      <c r="CP85" s="189"/>
      <c r="CQ85" s="189"/>
      <c r="CR85" s="189"/>
      <c r="CS85" s="189"/>
      <c r="CT85" s="189"/>
      <c r="CU85" s="192"/>
      <c r="CV85" s="189"/>
      <c r="CW85" s="189"/>
      <c r="CX85" s="189"/>
      <c r="CY85" s="189"/>
      <c r="CZ85" s="189"/>
      <c r="DA85" s="189"/>
      <c r="DB85" s="189"/>
      <c r="DC85" s="189"/>
      <c r="DD85" s="189"/>
      <c r="DE85" s="189"/>
      <c r="DF85" s="189"/>
      <c r="DG85" s="189"/>
      <c r="DH85" s="189"/>
      <c r="DI85" s="189"/>
      <c r="DJ85" s="189"/>
      <c r="DK85" s="189"/>
      <c r="DL85" s="189"/>
      <c r="DM85" s="189"/>
      <c r="DN85" s="189"/>
      <c r="DO85" s="189"/>
      <c r="DP85" s="189"/>
      <c r="DQ85" s="189"/>
      <c r="DR85" s="189"/>
      <c r="DS85" s="189"/>
      <c r="DT85" s="189"/>
      <c r="DU85" s="189"/>
      <c r="DV85" s="189"/>
      <c r="DW85" s="189"/>
      <c r="DX85" s="189"/>
      <c r="DY85" s="189"/>
      <c r="DZ85" s="189"/>
      <c r="EA85" s="189"/>
      <c r="EB85" s="189"/>
      <c r="EC85" s="189"/>
      <c r="ED85" s="189"/>
      <c r="EE85" s="189"/>
      <c r="EF85" s="189"/>
      <c r="EG85" s="189"/>
      <c r="EH85" s="189"/>
      <c r="EI85" s="189"/>
      <c r="EJ85" s="189"/>
      <c r="EK85" s="164">
        <f t="shared" si="196"/>
        <v>0</v>
      </c>
      <c r="EL85" s="189"/>
      <c r="EM85" s="189"/>
      <c r="EN85" s="189"/>
      <c r="EO85" s="189"/>
      <c r="EP85" s="189"/>
      <c r="EQ85" s="189"/>
      <c r="ER85" s="189"/>
      <c r="ES85" s="163">
        <f t="shared" si="197"/>
        <v>0</v>
      </c>
      <c r="ET85" s="192"/>
      <c r="EU85" s="189"/>
      <c r="EV85" s="189"/>
      <c r="EW85" s="189"/>
      <c r="EX85" s="189"/>
      <c r="EY85" s="189"/>
      <c r="EZ85" s="189"/>
      <c r="FA85" s="189"/>
      <c r="FB85" s="189"/>
      <c r="FC85" s="188"/>
      <c r="FD85" s="188"/>
      <c r="FE85" s="188"/>
      <c r="FF85" s="188"/>
      <c r="FG85" s="188"/>
      <c r="FH85" s="188"/>
      <c r="FI85" s="188"/>
      <c r="FJ85" s="188"/>
      <c r="FK85" s="188"/>
      <c r="FL85" s="188"/>
      <c r="FM85" s="188"/>
      <c r="FN85" s="188"/>
      <c r="FO85" s="188"/>
      <c r="FP85" s="188"/>
      <c r="FQ85" s="188"/>
      <c r="FR85" s="188"/>
      <c r="FS85" s="39">
        <f t="shared" si="195"/>
        <v>895732.52083000005</v>
      </c>
      <c r="FT85" s="485" t="e">
        <f t="shared" si="81"/>
        <v>#DIV/0!</v>
      </c>
      <c r="FU85" s="39">
        <v>0</v>
      </c>
      <c r="FV85" s="485" t="e">
        <f t="shared" si="82"/>
        <v>#DIV/0!</v>
      </c>
      <c r="FW85" s="38">
        <f>FW356+FW387</f>
        <v>276081.24210999999</v>
      </c>
      <c r="FX85" s="660" t="e">
        <f t="shared" si="198"/>
        <v>#DIV/0!</v>
      </c>
      <c r="FY85" s="39">
        <f>FY356+FY387</f>
        <v>619651.27872000006</v>
      </c>
      <c r="FZ85" s="660" t="e">
        <f t="shared" si="199"/>
        <v>#DIV/0!</v>
      </c>
      <c r="GA85" s="39">
        <f t="shared" si="83"/>
        <v>0</v>
      </c>
      <c r="GB85" s="485" t="e">
        <f t="shared" si="84"/>
        <v>#DIV/0!</v>
      </c>
      <c r="GC85" s="39">
        <v>0</v>
      </c>
      <c r="GD85" s="485" t="e">
        <f t="shared" si="85"/>
        <v>#DIV/0!</v>
      </c>
      <c r="GE85" s="82"/>
      <c r="GF85" s="498"/>
      <c r="GG85" s="82"/>
      <c r="GH85" s="498"/>
      <c r="GI85" s="90"/>
      <c r="GJ85" s="485"/>
      <c r="GK85" s="90"/>
      <c r="GL85" s="485"/>
      <c r="GM85" s="90"/>
      <c r="GN85" s="485"/>
      <c r="GO85" s="90"/>
      <c r="GP85" s="485"/>
      <c r="GQ85" s="189"/>
      <c r="GR85" s="189"/>
      <c r="GS85" s="189"/>
      <c r="GT85" s="189"/>
      <c r="GU85" s="189"/>
      <c r="GV85" s="189"/>
      <c r="GW85" s="189"/>
      <c r="GX85" s="189"/>
      <c r="GY85" s="189"/>
      <c r="GZ85" s="189"/>
      <c r="HA85" s="189"/>
      <c r="HB85" s="189"/>
      <c r="HC85" s="189"/>
      <c r="HD85" s="189"/>
      <c r="HE85" s="189"/>
      <c r="HF85" s="189"/>
      <c r="HG85" s="189"/>
      <c r="HH85" s="189"/>
      <c r="HI85" s="189"/>
      <c r="HJ85" s="189"/>
      <c r="HK85" s="189"/>
      <c r="HL85" s="189"/>
      <c r="HM85" s="189"/>
      <c r="HN85" s="189"/>
      <c r="HO85" s="189"/>
      <c r="HP85" s="189"/>
      <c r="HQ85" s="189"/>
      <c r="HR85" s="189"/>
      <c r="HS85" s="189"/>
      <c r="HT85" s="189"/>
      <c r="HU85" s="189"/>
      <c r="HV85" s="189"/>
      <c r="HW85" s="189"/>
      <c r="HX85" s="189"/>
      <c r="HY85" s="189"/>
      <c r="HZ85" s="189"/>
      <c r="IA85" s="189"/>
      <c r="IB85" s="189"/>
      <c r="IC85" s="189"/>
      <c r="ID85" s="189"/>
      <c r="IE85" s="169"/>
      <c r="IF85" s="193"/>
      <c r="IG85" s="193"/>
      <c r="IH85" s="193"/>
    </row>
    <row r="86" spans="2:242" s="194" customFormat="1" ht="15" hidden="1" customHeight="1" x14ac:dyDescent="0.25">
      <c r="B86" s="178"/>
      <c r="C86" s="197"/>
      <c r="D86" s="187"/>
      <c r="E86" s="188"/>
      <c r="F86" s="188"/>
      <c r="G86" s="188"/>
      <c r="H86" s="188"/>
      <c r="I86" s="188"/>
      <c r="J86" s="188"/>
      <c r="K86" s="188"/>
      <c r="L86" s="188"/>
      <c r="M86" s="188"/>
      <c r="N86" s="188"/>
      <c r="O86" s="188"/>
      <c r="P86" s="188"/>
      <c r="Q86" s="189"/>
      <c r="R86" s="189"/>
      <c r="S86" s="189"/>
      <c r="T86" s="189"/>
      <c r="U86" s="189"/>
      <c r="V86" s="189"/>
      <c r="W86" s="189"/>
      <c r="X86" s="189"/>
      <c r="Y86" s="189"/>
      <c r="Z86" s="189"/>
      <c r="AA86" s="189"/>
      <c r="AB86" s="189"/>
      <c r="AC86" s="189"/>
      <c r="AD86" s="189"/>
      <c r="AE86" s="189"/>
      <c r="AF86" s="189"/>
      <c r="AG86" s="189"/>
      <c r="AH86" s="189"/>
      <c r="AI86" s="182"/>
      <c r="AJ86" s="189"/>
      <c r="AK86" s="182"/>
      <c r="AL86" s="182"/>
      <c r="AM86" s="190"/>
      <c r="AN86" s="191"/>
      <c r="AO86" s="109"/>
      <c r="AP86" s="191"/>
      <c r="AQ86" s="191"/>
      <c r="AR86" s="191"/>
      <c r="AS86" s="189"/>
      <c r="AT86" s="189"/>
      <c r="AU86" s="189"/>
      <c r="AV86" s="189"/>
      <c r="AW86" s="189"/>
      <c r="AX86" s="189"/>
      <c r="AY86" s="189"/>
      <c r="AZ86" s="189"/>
      <c r="BA86" s="189"/>
      <c r="BB86" s="189"/>
      <c r="BC86" s="189"/>
      <c r="BD86" s="189"/>
      <c r="BE86" s="189"/>
      <c r="BF86" s="189"/>
      <c r="BG86" s="189"/>
      <c r="BH86" s="189"/>
      <c r="BI86" s="189"/>
      <c r="BJ86" s="189"/>
      <c r="BK86" s="110"/>
      <c r="BL86" s="106"/>
      <c r="BM86" s="106"/>
      <c r="BN86" s="106"/>
      <c r="BO86" s="106"/>
      <c r="BP86" s="106"/>
      <c r="BQ86" s="106"/>
      <c r="BR86" s="106"/>
      <c r="BS86" s="106"/>
      <c r="BT86" s="106"/>
      <c r="BU86" s="106"/>
      <c r="BV86" s="189"/>
      <c r="BW86" s="189"/>
      <c r="BX86" s="189"/>
      <c r="BY86" s="189"/>
      <c r="BZ86" s="192"/>
      <c r="CA86" s="189"/>
      <c r="CB86" s="189"/>
      <c r="CC86" s="189"/>
      <c r="CD86" s="189"/>
      <c r="CE86" s="106"/>
      <c r="CF86" s="106"/>
      <c r="CG86" s="189"/>
      <c r="CH86" s="189"/>
      <c r="CI86" s="189"/>
      <c r="CJ86" s="189"/>
      <c r="CK86" s="189"/>
      <c r="CL86" s="189"/>
      <c r="CM86" s="189"/>
      <c r="CN86" s="189"/>
      <c r="CO86" s="189"/>
      <c r="CP86" s="189"/>
      <c r="CQ86" s="189"/>
      <c r="CR86" s="189"/>
      <c r="CS86" s="189"/>
      <c r="CT86" s="189"/>
      <c r="CU86" s="192"/>
      <c r="CV86" s="189"/>
      <c r="CW86" s="189"/>
      <c r="CX86" s="189"/>
      <c r="CY86" s="189"/>
      <c r="CZ86" s="189"/>
      <c r="DA86" s="189"/>
      <c r="DB86" s="189"/>
      <c r="DC86" s="189"/>
      <c r="DD86" s="189"/>
      <c r="DE86" s="189"/>
      <c r="DF86" s="189"/>
      <c r="DG86" s="189"/>
      <c r="DH86" s="189"/>
      <c r="DI86" s="189"/>
      <c r="DJ86" s="189"/>
      <c r="DK86" s="189"/>
      <c r="DL86" s="189"/>
      <c r="DM86" s="189"/>
      <c r="DN86" s="189"/>
      <c r="DO86" s="189"/>
      <c r="DP86" s="189"/>
      <c r="DQ86" s="189"/>
      <c r="DR86" s="189"/>
      <c r="DS86" s="189"/>
      <c r="DT86" s="189"/>
      <c r="DU86" s="189"/>
      <c r="DV86" s="189"/>
      <c r="DW86" s="189"/>
      <c r="DX86" s="189"/>
      <c r="DY86" s="189"/>
      <c r="DZ86" s="189"/>
      <c r="EA86" s="189"/>
      <c r="EB86" s="189"/>
      <c r="EC86" s="189"/>
      <c r="ED86" s="189"/>
      <c r="EE86" s="189"/>
      <c r="EF86" s="189"/>
      <c r="EG86" s="189"/>
      <c r="EH86" s="189"/>
      <c r="EI86" s="189"/>
      <c r="EJ86" s="189"/>
      <c r="EK86" s="164">
        <f t="shared" si="196"/>
        <v>0</v>
      </c>
      <c r="EL86" s="189"/>
      <c r="EM86" s="189"/>
      <c r="EN86" s="189"/>
      <c r="EO86" s="189"/>
      <c r="EP86" s="189"/>
      <c r="EQ86" s="189"/>
      <c r="ER86" s="189"/>
      <c r="ES86" s="163">
        <f t="shared" si="197"/>
        <v>0</v>
      </c>
      <c r="ET86" s="192"/>
      <c r="EU86" s="189"/>
      <c r="EV86" s="189"/>
      <c r="EW86" s="189"/>
      <c r="EX86" s="189"/>
      <c r="EY86" s="189"/>
      <c r="EZ86" s="189"/>
      <c r="FA86" s="189"/>
      <c r="FB86" s="189"/>
      <c r="FC86" s="188"/>
      <c r="FD86" s="188"/>
      <c r="FE86" s="188"/>
      <c r="FF86" s="188"/>
      <c r="FG86" s="188"/>
      <c r="FH86" s="188"/>
      <c r="FI86" s="188"/>
      <c r="FJ86" s="188"/>
      <c r="FK86" s="188"/>
      <c r="FL86" s="188"/>
      <c r="FM86" s="188"/>
      <c r="FN86" s="188"/>
      <c r="FO86" s="188"/>
      <c r="FP86" s="188"/>
      <c r="FQ86" s="188"/>
      <c r="FR86" s="188"/>
      <c r="FS86" s="39">
        <f t="shared" si="195"/>
        <v>0</v>
      </c>
      <c r="FT86" s="485" t="e">
        <f t="shared" si="81"/>
        <v>#DIV/0!</v>
      </c>
      <c r="FU86" s="39">
        <v>0</v>
      </c>
      <c r="FV86" s="485" t="e">
        <f t="shared" si="82"/>
        <v>#DIV/0!</v>
      </c>
      <c r="FW86" s="38">
        <f>FW357+FW388</f>
        <v>0</v>
      </c>
      <c r="FX86" s="660" t="e">
        <f t="shared" si="198"/>
        <v>#DIV/0!</v>
      </c>
      <c r="FY86" s="39">
        <f>FY357+FY388</f>
        <v>0</v>
      </c>
      <c r="FZ86" s="660" t="e">
        <f t="shared" si="199"/>
        <v>#DIV/0!</v>
      </c>
      <c r="GA86" s="39">
        <f t="shared" si="83"/>
        <v>0</v>
      </c>
      <c r="GB86" s="485" t="e">
        <f t="shared" si="84"/>
        <v>#DIV/0!</v>
      </c>
      <c r="GC86" s="39">
        <v>0</v>
      </c>
      <c r="GD86" s="485" t="e">
        <f t="shared" si="85"/>
        <v>#DIV/0!</v>
      </c>
      <c r="GE86" s="82"/>
      <c r="GF86" s="498"/>
      <c r="GG86" s="82"/>
      <c r="GH86" s="498"/>
      <c r="GI86" s="90"/>
      <c r="GJ86" s="485"/>
      <c r="GK86" s="90"/>
      <c r="GL86" s="485"/>
      <c r="GM86" s="90"/>
      <c r="GN86" s="485"/>
      <c r="GO86" s="90"/>
      <c r="GP86" s="485"/>
      <c r="GQ86" s="189"/>
      <c r="GR86" s="189"/>
      <c r="GS86" s="189"/>
      <c r="GT86" s="189"/>
      <c r="GU86" s="189"/>
      <c r="GV86" s="189"/>
      <c r="GW86" s="189"/>
      <c r="GX86" s="189"/>
      <c r="GY86" s="189"/>
      <c r="GZ86" s="189"/>
      <c r="HA86" s="189"/>
      <c r="HB86" s="189"/>
      <c r="HC86" s="189"/>
      <c r="HD86" s="189"/>
      <c r="HE86" s="189"/>
      <c r="HF86" s="189"/>
      <c r="HG86" s="189"/>
      <c r="HH86" s="189"/>
      <c r="HI86" s="189"/>
      <c r="HJ86" s="189"/>
      <c r="HK86" s="189"/>
      <c r="HL86" s="189"/>
      <c r="HM86" s="189"/>
      <c r="HN86" s="189"/>
      <c r="HO86" s="189"/>
      <c r="HP86" s="189"/>
      <c r="HQ86" s="189"/>
      <c r="HR86" s="189"/>
      <c r="HS86" s="189"/>
      <c r="HT86" s="189"/>
      <c r="HU86" s="189"/>
      <c r="HV86" s="189"/>
      <c r="HW86" s="189"/>
      <c r="HX86" s="189"/>
      <c r="HY86" s="189"/>
      <c r="HZ86" s="189"/>
      <c r="IA86" s="189"/>
      <c r="IB86" s="189"/>
      <c r="IC86" s="189"/>
      <c r="ID86" s="189"/>
      <c r="IE86" s="169"/>
      <c r="IF86" s="193"/>
      <c r="IG86" s="193"/>
      <c r="IH86" s="193"/>
    </row>
    <row r="87" spans="2:242" s="171" customFormat="1" ht="35.25" hidden="1" customHeight="1" x14ac:dyDescent="0.25">
      <c r="B87" s="160"/>
      <c r="C87" s="161" t="s">
        <v>148</v>
      </c>
      <c r="D87" s="162"/>
      <c r="E87" s="163"/>
      <c r="F87" s="163"/>
      <c r="G87" s="163"/>
      <c r="H87" s="163"/>
      <c r="I87" s="163"/>
      <c r="J87" s="163"/>
      <c r="K87" s="163"/>
      <c r="L87" s="163"/>
      <c r="M87" s="163"/>
      <c r="N87" s="163"/>
      <c r="O87" s="163"/>
      <c r="P87" s="163"/>
      <c r="Q87" s="164"/>
      <c r="R87" s="164"/>
      <c r="S87" s="164"/>
      <c r="T87" s="164"/>
      <c r="U87" s="164"/>
      <c r="V87" s="164"/>
      <c r="W87" s="164"/>
      <c r="X87" s="164"/>
      <c r="Y87" s="164"/>
      <c r="Z87" s="164"/>
      <c r="AA87" s="164"/>
      <c r="AB87" s="164"/>
      <c r="AC87" s="164"/>
      <c r="AD87" s="164"/>
      <c r="AE87" s="164"/>
      <c r="AF87" s="164"/>
      <c r="AG87" s="164"/>
      <c r="AH87" s="164"/>
      <c r="AI87" s="165"/>
      <c r="AJ87" s="164"/>
      <c r="AK87" s="165"/>
      <c r="AL87" s="165"/>
      <c r="AM87" s="175"/>
      <c r="AN87" s="174"/>
      <c r="AO87" s="166"/>
      <c r="AP87" s="174"/>
      <c r="AQ87" s="174"/>
      <c r="AR87" s="174"/>
      <c r="AS87" s="164"/>
      <c r="AT87" s="164"/>
      <c r="AU87" s="164"/>
      <c r="AV87" s="164"/>
      <c r="AW87" s="164"/>
      <c r="AX87" s="164"/>
      <c r="AY87" s="164"/>
      <c r="AZ87" s="164"/>
      <c r="BA87" s="164"/>
      <c r="BB87" s="164"/>
      <c r="BC87" s="164"/>
      <c r="BD87" s="164"/>
      <c r="BE87" s="164"/>
      <c r="BF87" s="164"/>
      <c r="BG87" s="164"/>
      <c r="BH87" s="164"/>
      <c r="BI87" s="164"/>
      <c r="BJ87" s="164"/>
      <c r="BK87" s="167"/>
      <c r="BL87" s="168"/>
      <c r="BM87" s="168"/>
      <c r="BN87" s="168"/>
      <c r="BO87" s="168"/>
      <c r="BP87" s="168"/>
      <c r="BQ87" s="168"/>
      <c r="BR87" s="168"/>
      <c r="BS87" s="168"/>
      <c r="BT87" s="168"/>
      <c r="BU87" s="168"/>
      <c r="BV87" s="164"/>
      <c r="BW87" s="164"/>
      <c r="BX87" s="164"/>
      <c r="BY87" s="164"/>
      <c r="BZ87" s="164"/>
      <c r="CA87" s="164"/>
      <c r="CB87" s="164"/>
      <c r="CC87" s="164"/>
      <c r="CD87" s="164"/>
      <c r="CE87" s="168"/>
      <c r="CF87" s="168"/>
      <c r="CG87" s="164"/>
      <c r="CH87" s="164"/>
      <c r="CI87" s="164"/>
      <c r="CJ87" s="164"/>
      <c r="CK87" s="164"/>
      <c r="CL87" s="164"/>
      <c r="CM87" s="164"/>
      <c r="CN87" s="164"/>
      <c r="CO87" s="164"/>
      <c r="CP87" s="164"/>
      <c r="CQ87" s="164"/>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f t="shared" si="196"/>
        <v>0</v>
      </c>
      <c r="EL87" s="164">
        <f>ET87-EH87</f>
        <v>0</v>
      </c>
      <c r="EM87" s="164"/>
      <c r="EN87" s="164"/>
      <c r="EO87" s="164"/>
      <c r="EP87" s="164"/>
      <c r="EQ87" s="164"/>
      <c r="ER87" s="164"/>
      <c r="ES87" s="163">
        <f t="shared" si="197"/>
        <v>0</v>
      </c>
      <c r="ET87" s="164"/>
      <c r="EU87" s="164"/>
      <c r="EV87" s="164"/>
      <c r="EW87" s="164"/>
      <c r="EX87" s="164"/>
      <c r="EY87" s="164"/>
      <c r="EZ87" s="164"/>
      <c r="FA87" s="164"/>
      <c r="FB87" s="164"/>
      <c r="FC87" s="163"/>
      <c r="FD87" s="163"/>
      <c r="FE87" s="163"/>
      <c r="FF87" s="163"/>
      <c r="FG87" s="163"/>
      <c r="FH87" s="163"/>
      <c r="FI87" s="163"/>
      <c r="FJ87" s="163"/>
      <c r="FK87" s="163"/>
      <c r="FL87" s="163"/>
      <c r="FM87" s="163"/>
      <c r="FN87" s="163"/>
      <c r="FO87" s="163"/>
      <c r="FP87" s="163"/>
      <c r="FQ87" s="163"/>
      <c r="FR87" s="163"/>
      <c r="FS87" s="39">
        <f t="shared" si="195"/>
        <v>410677.63962999999</v>
      </c>
      <c r="FT87" s="485" t="e">
        <f t="shared" si="81"/>
        <v>#DIV/0!</v>
      </c>
      <c r="FU87" s="39">
        <v>0</v>
      </c>
      <c r="FV87" s="485" t="e">
        <f t="shared" si="82"/>
        <v>#DIV/0!</v>
      </c>
      <c r="FW87" s="38">
        <f>FW359+FW390</f>
        <v>0</v>
      </c>
      <c r="FX87" s="660" t="e">
        <f t="shared" si="198"/>
        <v>#DIV/0!</v>
      </c>
      <c r="FY87" s="39">
        <f>FY359+FY390</f>
        <v>410677.63962999999</v>
      </c>
      <c r="FZ87" s="660" t="e">
        <f t="shared" si="199"/>
        <v>#DIV/0!</v>
      </c>
      <c r="GA87" s="39">
        <f t="shared" si="83"/>
        <v>0</v>
      </c>
      <c r="GB87" s="485" t="e">
        <f t="shared" si="84"/>
        <v>#DIV/0!</v>
      </c>
      <c r="GC87" s="39">
        <v>0</v>
      </c>
      <c r="GD87" s="485" t="e">
        <f t="shared" si="85"/>
        <v>#DIV/0!</v>
      </c>
      <c r="GE87" s="82"/>
      <c r="GF87" s="498"/>
      <c r="GG87" s="82"/>
      <c r="GH87" s="498"/>
      <c r="GI87" s="90"/>
      <c r="GJ87" s="485"/>
      <c r="GK87" s="90"/>
      <c r="GL87" s="485"/>
      <c r="GM87" s="90"/>
      <c r="GN87" s="485"/>
      <c r="GO87" s="90"/>
      <c r="GP87" s="485"/>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c r="HX87" s="164"/>
      <c r="HY87" s="164"/>
      <c r="HZ87" s="164"/>
      <c r="IA87" s="164"/>
      <c r="IB87" s="164"/>
      <c r="IC87" s="164"/>
      <c r="ID87" s="164"/>
      <c r="IE87" s="185"/>
      <c r="IF87" s="170"/>
      <c r="IG87" s="170"/>
      <c r="IH87" s="170"/>
    </row>
    <row r="88" spans="2:242" s="202" customFormat="1" ht="47.25" customHeight="1" x14ac:dyDescent="0.25">
      <c r="B88" s="100" t="s">
        <v>173</v>
      </c>
      <c r="C88" s="101" t="s">
        <v>179</v>
      </c>
      <c r="D88" s="102" t="s">
        <v>165</v>
      </c>
      <c r="E88" s="103">
        <f t="shared" ref="E88:E93" si="200">F88+G88</f>
        <v>0</v>
      </c>
      <c r="F88" s="104">
        <f>SUM(F89:F90)</f>
        <v>0</v>
      </c>
      <c r="G88" s="104">
        <f>SUM(G89:G90)</f>
        <v>0</v>
      </c>
      <c r="H88" s="103">
        <f t="shared" ref="H88:H93" si="201">I88+J88</f>
        <v>0</v>
      </c>
      <c r="I88" s="104">
        <f>SUM(I89:I90)</f>
        <v>0</v>
      </c>
      <c r="J88" s="104"/>
      <c r="K88" s="103">
        <f t="shared" ref="K88:K93" si="202">L88+M88</f>
        <v>0</v>
      </c>
      <c r="L88" s="104">
        <f>SUM(L89:L90)</f>
        <v>0</v>
      </c>
      <c r="M88" s="104">
        <f>SUM(M89:M90)</f>
        <v>0</v>
      </c>
      <c r="N88" s="103">
        <f t="shared" ref="N88:N93" si="203">O88+P88</f>
        <v>0</v>
      </c>
      <c r="O88" s="104">
        <f>SUM(O89:O90)</f>
        <v>0</v>
      </c>
      <c r="P88" s="104"/>
      <c r="Q88" s="105">
        <f t="shared" ref="Q88:Q93" si="204">R88+S88</f>
        <v>0</v>
      </c>
      <c r="R88" s="106">
        <f>SUM(R89:R90)</f>
        <v>0</v>
      </c>
      <c r="S88" s="106">
        <f>SUM(S89:S90)</f>
        <v>0</v>
      </c>
      <c r="T88" s="105">
        <f t="shared" ref="T88:T93" si="205">U88+V88</f>
        <v>0</v>
      </c>
      <c r="U88" s="106">
        <f>SUM(U89:U90)</f>
        <v>0</v>
      </c>
      <c r="V88" s="106">
        <f>SUM(V89:V90)</f>
        <v>0</v>
      </c>
      <c r="W88" s="105">
        <f t="shared" ref="W88:W93" si="206">X88+Y88</f>
        <v>0</v>
      </c>
      <c r="X88" s="106">
        <f>SUM(X89:X90)</f>
        <v>0</v>
      </c>
      <c r="Y88" s="106"/>
      <c r="Z88" s="105">
        <f t="shared" ref="Z88:Z93" si="207">AA88+AB88</f>
        <v>0</v>
      </c>
      <c r="AA88" s="106">
        <f t="shared" ref="AA88:AH88" si="208">SUM(AA89:AA90)</f>
        <v>0</v>
      </c>
      <c r="AB88" s="106">
        <f t="shared" si="208"/>
        <v>0</v>
      </c>
      <c r="AC88" s="106">
        <f t="shared" si="208"/>
        <v>0</v>
      </c>
      <c r="AD88" s="106">
        <f t="shared" si="208"/>
        <v>0</v>
      </c>
      <c r="AE88" s="106">
        <f t="shared" si="208"/>
        <v>0</v>
      </c>
      <c r="AF88" s="106">
        <f t="shared" si="208"/>
        <v>0</v>
      </c>
      <c r="AG88" s="106">
        <f t="shared" si="208"/>
        <v>0</v>
      </c>
      <c r="AH88" s="106">
        <f t="shared" si="208"/>
        <v>0</v>
      </c>
      <c r="AI88" s="106">
        <f t="shared" ref="AI88:AI93" si="209">AA88-AJ88</f>
        <v>0</v>
      </c>
      <c r="AJ88" s="106">
        <f>SUM(AJ89:AJ90)</f>
        <v>0</v>
      </c>
      <c r="AK88" s="106">
        <f t="shared" ref="AK88:AL93" si="210">Z88-AJ88</f>
        <v>0</v>
      </c>
      <c r="AL88" s="106">
        <f t="shared" si="210"/>
        <v>0</v>
      </c>
      <c r="AM88" s="746" t="s">
        <v>170</v>
      </c>
      <c r="AN88" s="108" t="s">
        <v>170</v>
      </c>
      <c r="AO88" s="109">
        <v>1</v>
      </c>
      <c r="AP88" s="108"/>
      <c r="AQ88" s="108"/>
      <c r="AR88" s="108"/>
      <c r="AS88" s="105">
        <f t="shared" ref="AS88:AS93" si="211">AT88+AU88</f>
        <v>1000</v>
      </c>
      <c r="AT88" s="106">
        <f>SUM(AT89:AT90)</f>
        <v>1000</v>
      </c>
      <c r="AU88" s="106">
        <f>SUM(AU89:AU90)</f>
        <v>0</v>
      </c>
      <c r="AV88" s="105">
        <f t="shared" ref="AV88:AV93" si="212">AW88+AX88</f>
        <v>0</v>
      </c>
      <c r="AW88" s="106">
        <f>SUM(AW89:AW90)</f>
        <v>0</v>
      </c>
      <c r="AX88" s="106"/>
      <c r="AY88" s="105">
        <f t="shared" ref="AY88:AY93" si="213">AZ88+BA88</f>
        <v>1000</v>
      </c>
      <c r="AZ88" s="106">
        <f>SUM(AZ89:AZ90)</f>
        <v>1000</v>
      </c>
      <c r="BA88" s="106">
        <f>SUM(BA89:BA90)</f>
        <v>0</v>
      </c>
      <c r="BB88" s="105">
        <f t="shared" ref="BB88:BB93" si="214">BC88+BD88</f>
        <v>50000</v>
      </c>
      <c r="BC88" s="106">
        <f>SUM(BC89:BC90)</f>
        <v>50000</v>
      </c>
      <c r="BD88" s="106">
        <f>SUM(BD89:BD90)</f>
        <v>0</v>
      </c>
      <c r="BE88" s="105">
        <f t="shared" ref="BE88:BE93" si="215">BF88+BG88</f>
        <v>0</v>
      </c>
      <c r="BF88" s="106">
        <f>SUM(BF89:BF90)</f>
        <v>0</v>
      </c>
      <c r="BG88" s="106"/>
      <c r="BH88" s="105">
        <f t="shared" ref="BH88:BH93" si="216">BI88+BJ88</f>
        <v>1000</v>
      </c>
      <c r="BI88" s="106">
        <f>SUM(BI89:BI90)</f>
        <v>1000</v>
      </c>
      <c r="BJ88" s="106">
        <f>SUM(BJ89:BJ90)</f>
        <v>0</v>
      </c>
      <c r="BK88" s="110">
        <v>1</v>
      </c>
      <c r="BL88" s="106">
        <f t="shared" ref="BL88:BL93" si="217">AZ88</f>
        <v>1000</v>
      </c>
      <c r="BM88" s="106"/>
      <c r="BN88" s="106"/>
      <c r="BO88" s="106"/>
      <c r="BP88" s="106"/>
      <c r="BQ88" s="106"/>
      <c r="BR88" s="106"/>
      <c r="BS88" s="106">
        <f>BS89+BS90</f>
        <v>1000</v>
      </c>
      <c r="BT88" s="106">
        <f>BT89+BT90</f>
        <v>1000</v>
      </c>
      <c r="BU88" s="106">
        <f>BU89+BU90</f>
        <v>0</v>
      </c>
      <c r="BV88" s="105">
        <f t="shared" ref="BV88:BV93" si="218">BW88+BX88</f>
        <v>50000</v>
      </c>
      <c r="BW88" s="106">
        <f>SUM(BW89:BW90)</f>
        <v>50000</v>
      </c>
      <c r="BX88" s="106">
        <f>SUM(BX89:BX90)</f>
        <v>0</v>
      </c>
      <c r="BY88" s="105">
        <f t="shared" ref="BY88:BY93" si="219">BZ88+CA88</f>
        <v>0</v>
      </c>
      <c r="BZ88" s="106">
        <f>SUM(BZ89:BZ90)</f>
        <v>0</v>
      </c>
      <c r="CA88" s="106"/>
      <c r="CB88" s="105">
        <f t="shared" ref="CB88:CB93" si="220">CC88+CD88</f>
        <v>1000</v>
      </c>
      <c r="CC88" s="106">
        <f>SUM(CC89:CC90)</f>
        <v>1000</v>
      </c>
      <c r="CD88" s="106">
        <f>SUM(CD89:CD90)</f>
        <v>0</v>
      </c>
      <c r="CE88" s="106">
        <v>1</v>
      </c>
      <c r="CF88" s="106">
        <f t="shared" ref="CF88:CF93" si="221">CB88</f>
        <v>1000</v>
      </c>
      <c r="CG88" s="105"/>
      <c r="CH88" s="105">
        <f t="shared" ref="CH88:CH93" si="222">CI88+CJ88</f>
        <v>50000</v>
      </c>
      <c r="CI88" s="106">
        <f>SUM(CI89:CI90)</f>
        <v>50000</v>
      </c>
      <c r="CJ88" s="106">
        <f>SUM(CJ89:CJ90)</f>
        <v>0</v>
      </c>
      <c r="CK88" s="105">
        <f t="shared" ref="CK88:CK93" si="223">CL88+CM88</f>
        <v>0</v>
      </c>
      <c r="CL88" s="106">
        <f>SUM(CL89:CL90)</f>
        <v>0</v>
      </c>
      <c r="CM88" s="106"/>
      <c r="CN88" s="106"/>
      <c r="CO88" s="106"/>
      <c r="CP88" s="106"/>
      <c r="CQ88" s="105">
        <f t="shared" ref="CQ88:CQ93" si="224">CR88+CS88</f>
        <v>50000</v>
      </c>
      <c r="CR88" s="106">
        <f>SUM(CR89:CR90)</f>
        <v>50000</v>
      </c>
      <c r="CS88" s="106">
        <f>SUM(CS89:CS90)</f>
        <v>0</v>
      </c>
      <c r="CT88" s="105">
        <f t="shared" ref="CT88:CT93" si="225">CU88+CV88</f>
        <v>0</v>
      </c>
      <c r="CU88" s="106"/>
      <c r="CV88" s="106"/>
      <c r="CW88" s="105">
        <f t="shared" ref="CW88:CW93" si="226">CX88+CY88</f>
        <v>2774.20597</v>
      </c>
      <c r="CX88" s="106">
        <f>SUM(CX89:CX90)</f>
        <v>2774.20597</v>
      </c>
      <c r="CY88" s="106"/>
      <c r="CZ88" s="105">
        <f t="shared" ref="CZ88:CZ93" si="227">DA88+DB88</f>
        <v>50000</v>
      </c>
      <c r="DA88" s="106">
        <f>SUM(DA89:DA90)</f>
        <v>50000</v>
      </c>
      <c r="DB88" s="106">
        <f>SUM(DB89:DB90)</f>
        <v>0</v>
      </c>
      <c r="DC88" s="106"/>
      <c r="DD88" s="106"/>
      <c r="DE88" s="106"/>
      <c r="DF88" s="105">
        <f t="shared" ref="DF88:DF93" si="228">DG88+DH88</f>
        <v>0</v>
      </c>
      <c r="DG88" s="106">
        <f>SUM(DG89:DG90)</f>
        <v>0</v>
      </c>
      <c r="DH88" s="106">
        <f>SUM(DH89:DH90)</f>
        <v>0</v>
      </c>
      <c r="DI88" s="105">
        <f t="shared" ref="DI88:DI93" si="229">DJ88+DK88</f>
        <v>2774.20597</v>
      </c>
      <c r="DJ88" s="106">
        <f>SUM(DJ89:DJ90)</f>
        <v>2774.20597</v>
      </c>
      <c r="DK88" s="106">
        <f>SUM(DK89:DK90)</f>
        <v>0</v>
      </c>
      <c r="DL88" s="105">
        <f t="shared" ref="DL88:DL93" si="230">DM88+DN88</f>
        <v>2274.20597</v>
      </c>
      <c r="DM88" s="106">
        <f>SUM(DM89:DM90)</f>
        <v>2274.20597</v>
      </c>
      <c r="DN88" s="106">
        <f>SUM(DN89:DN90)</f>
        <v>0</v>
      </c>
      <c r="DO88" s="105">
        <f t="shared" ref="DO88:DO93" si="231">DP88+DQ88</f>
        <v>0</v>
      </c>
      <c r="DP88" s="106">
        <f>SUM(DP89:DP90)</f>
        <v>0</v>
      </c>
      <c r="DQ88" s="106">
        <f>SUM(DQ89:DQ90)</f>
        <v>0</v>
      </c>
      <c r="DR88" s="105">
        <f t="shared" ref="DR88:DR93" si="232">DS88+DT88</f>
        <v>500</v>
      </c>
      <c r="DS88" s="106">
        <f>SUM(DS89:DS90)</f>
        <v>500</v>
      </c>
      <c r="DT88" s="106">
        <f>SUM(DT89:DT90)</f>
        <v>0</v>
      </c>
      <c r="DU88" s="105">
        <f t="shared" ref="DU88:DU93" si="233">DV88+DW88</f>
        <v>50000</v>
      </c>
      <c r="DV88" s="106">
        <f>SUM(DV89:DV90)</f>
        <v>50000</v>
      </c>
      <c r="DW88" s="106"/>
      <c r="DX88" s="105">
        <f t="shared" ref="DX88:DX93" si="234">DY88+DZ88</f>
        <v>55000</v>
      </c>
      <c r="DY88" s="106">
        <f>SUM(DY89:DY90)</f>
        <v>55000</v>
      </c>
      <c r="DZ88" s="106">
        <f>SUM(DZ89:DZ90)</f>
        <v>0</v>
      </c>
      <c r="EA88" s="106"/>
      <c r="EB88" s="106"/>
      <c r="EC88" s="106"/>
      <c r="ED88" s="106">
        <f>EE88</f>
        <v>-50000</v>
      </c>
      <c r="EE88" s="106">
        <f>EE89</f>
        <v>-50000</v>
      </c>
      <c r="EF88" s="106"/>
      <c r="EG88" s="106">
        <f>EH88</f>
        <v>0</v>
      </c>
      <c r="EH88" s="106">
        <f>EH89</f>
        <v>0</v>
      </c>
      <c r="EI88" s="106"/>
      <c r="EJ88" s="106"/>
      <c r="EK88" s="105">
        <f t="shared" ref="EK88:EK95" si="235">EL88+EN88</f>
        <v>0</v>
      </c>
      <c r="EL88" s="106">
        <f>SUM(EL89:EL90)</f>
        <v>0</v>
      </c>
      <c r="EM88" s="106"/>
      <c r="EN88" s="106">
        <f>SUM(EN89:EN90)</f>
        <v>0</v>
      </c>
      <c r="EO88" s="105">
        <f t="shared" ref="EO88:EO93" si="236">EP88+ER88</f>
        <v>0</v>
      </c>
      <c r="EP88" s="106">
        <f>SUM(EP89:EP90)</f>
        <v>0</v>
      </c>
      <c r="EQ88" s="106"/>
      <c r="ER88" s="106">
        <f>SUM(ER89:ER90)</f>
        <v>0</v>
      </c>
      <c r="ES88" s="106">
        <f>ET88+EV88</f>
        <v>32057.762330000001</v>
      </c>
      <c r="ET88" s="106">
        <f>ET89+ET90</f>
        <v>32057.762330000001</v>
      </c>
      <c r="EU88" s="106"/>
      <c r="EV88" s="106"/>
      <c r="EW88" s="105">
        <f t="shared" ref="EW88:EW93" si="237">EX88+EY88</f>
        <v>55000</v>
      </c>
      <c r="EX88" s="106">
        <f>SUM(EX89:EX90)</f>
        <v>55000</v>
      </c>
      <c r="EY88" s="106">
        <f>SUM(EY89:EY90)</f>
        <v>0</v>
      </c>
      <c r="EZ88" s="106">
        <f>FA88</f>
        <v>-22942.237669999999</v>
      </c>
      <c r="FA88" s="106">
        <f>FA89</f>
        <v>-22942.237669999999</v>
      </c>
      <c r="FB88" s="106"/>
      <c r="FC88" s="104">
        <f>FD88</f>
        <v>32057.762330000001</v>
      </c>
      <c r="FD88" s="104">
        <f>FD89</f>
        <v>32057.762330000001</v>
      </c>
      <c r="FE88" s="104"/>
      <c r="FF88" s="104"/>
      <c r="FG88" s="103">
        <f>FH88+FJ88</f>
        <v>0</v>
      </c>
      <c r="FH88" s="104">
        <f>SUM(FH89:FH90)</f>
        <v>0</v>
      </c>
      <c r="FI88" s="104"/>
      <c r="FJ88" s="104">
        <f>SUM(FJ89:FJ90)</f>
        <v>0</v>
      </c>
      <c r="FK88" s="103">
        <f t="shared" ref="FK88:FK93" si="238">FL88+FN88</f>
        <v>0</v>
      </c>
      <c r="FL88" s="104">
        <f>SUM(FL89:FL90)</f>
        <v>0</v>
      </c>
      <c r="FM88" s="104"/>
      <c r="FN88" s="104">
        <f>SUM(FN89:FN90)</f>
        <v>0</v>
      </c>
      <c r="FO88" s="104">
        <f>FP88</f>
        <v>32057.762330000001</v>
      </c>
      <c r="FP88" s="104">
        <f>FP89</f>
        <v>32057.762330000001</v>
      </c>
      <c r="FQ88" s="104"/>
      <c r="FR88" s="104"/>
      <c r="FS88" s="629">
        <f t="shared" si="195"/>
        <v>34847.737330000004</v>
      </c>
      <c r="FT88" s="595">
        <f t="shared" si="81"/>
        <v>1.0870296239419404</v>
      </c>
      <c r="FU88" s="104">
        <f>FU89</f>
        <v>34847.737330000004</v>
      </c>
      <c r="FV88" s="595">
        <f t="shared" si="82"/>
        <v>1.0870296239419404</v>
      </c>
      <c r="FW88" s="522"/>
      <c r="FX88" s="666"/>
      <c r="FY88" s="104"/>
      <c r="FZ88" s="666"/>
      <c r="GA88" s="104">
        <f t="shared" si="83"/>
        <v>32057.762330000001</v>
      </c>
      <c r="GB88" s="595">
        <f t="shared" si="84"/>
        <v>1</v>
      </c>
      <c r="GC88" s="104">
        <f>GC89</f>
        <v>32057.762330000001</v>
      </c>
      <c r="GD88" s="595">
        <f t="shared" si="85"/>
        <v>1</v>
      </c>
      <c r="GE88" s="522"/>
      <c r="GF88" s="514"/>
      <c r="GG88" s="522"/>
      <c r="GH88" s="514"/>
      <c r="GI88" s="629">
        <f>GK88+GM88+GO88</f>
        <v>32057.762330000001</v>
      </c>
      <c r="GJ88" s="595">
        <f t="shared" si="86"/>
        <v>1</v>
      </c>
      <c r="GK88" s="629">
        <f>GK89</f>
        <v>32057.762330000001</v>
      </c>
      <c r="GL88" s="595">
        <f t="shared" si="87"/>
        <v>1</v>
      </c>
      <c r="GM88" s="629"/>
      <c r="GN88" s="595"/>
      <c r="GO88" s="629"/>
      <c r="GP88" s="595"/>
      <c r="GQ88" s="106"/>
      <c r="GR88" s="106"/>
      <c r="GS88" s="106"/>
      <c r="GT88" s="106"/>
      <c r="GU88" s="106">
        <f>GV88</f>
        <v>4000</v>
      </c>
      <c r="GV88" s="106">
        <f>GV89</f>
        <v>4000</v>
      </c>
      <c r="GW88" s="106"/>
      <c r="GX88" s="106"/>
      <c r="GY88" s="106"/>
      <c r="GZ88" s="106"/>
      <c r="HA88" s="106"/>
      <c r="HB88" s="106"/>
      <c r="HC88" s="106"/>
      <c r="HD88" s="106"/>
      <c r="HE88" s="106"/>
      <c r="HF88" s="106"/>
      <c r="HG88" s="106">
        <f>HH88</f>
        <v>0</v>
      </c>
      <c r="HH88" s="106">
        <f>HH89</f>
        <v>0</v>
      </c>
      <c r="HI88" s="106"/>
      <c r="HJ88" s="106"/>
      <c r="HK88" s="106">
        <f>HL88</f>
        <v>0</v>
      </c>
      <c r="HL88" s="106">
        <f>HL89</f>
        <v>0</v>
      </c>
      <c r="HM88" s="106"/>
      <c r="HN88" s="106"/>
      <c r="HO88" s="106">
        <f>HP88</f>
        <v>4000</v>
      </c>
      <c r="HP88" s="106">
        <f>HP89</f>
        <v>4000</v>
      </c>
      <c r="HQ88" s="106"/>
      <c r="HR88" s="106"/>
      <c r="HS88" s="106">
        <f>HT88</f>
        <v>0</v>
      </c>
      <c r="HT88" s="106">
        <f>HT89</f>
        <v>0</v>
      </c>
      <c r="HU88" s="106"/>
      <c r="HV88" s="106"/>
      <c r="HW88" s="106">
        <f>HX88</f>
        <v>0</v>
      </c>
      <c r="HX88" s="106">
        <f>HX89</f>
        <v>0</v>
      </c>
      <c r="HY88" s="106"/>
      <c r="HZ88" s="106"/>
      <c r="IA88" s="106">
        <f>IB88</f>
        <v>0</v>
      </c>
      <c r="IB88" s="106">
        <f>IB89</f>
        <v>0</v>
      </c>
      <c r="IC88" s="106"/>
      <c r="ID88" s="106"/>
      <c r="IE88" s="198" t="s">
        <v>180</v>
      </c>
      <c r="IF88" s="173"/>
      <c r="IG88" s="173"/>
      <c r="IH88" s="173"/>
    </row>
    <row r="89" spans="2:242" s="171" customFormat="1" ht="46.5" hidden="1" customHeight="1" x14ac:dyDescent="0.25">
      <c r="B89" s="186"/>
      <c r="C89" s="161" t="s">
        <v>148</v>
      </c>
      <c r="D89" s="162"/>
      <c r="E89" s="163">
        <f t="shared" si="200"/>
        <v>0</v>
      </c>
      <c r="F89" s="163"/>
      <c r="G89" s="163"/>
      <c r="H89" s="163">
        <f t="shared" si="201"/>
        <v>0</v>
      </c>
      <c r="I89" s="163">
        <f>L89-F89</f>
        <v>0</v>
      </c>
      <c r="J89" s="163"/>
      <c r="K89" s="163">
        <f t="shared" si="202"/>
        <v>0</v>
      </c>
      <c r="L89" s="163"/>
      <c r="M89" s="163"/>
      <c r="N89" s="163">
        <f t="shared" si="203"/>
        <v>0</v>
      </c>
      <c r="O89" s="163">
        <f>R89-L89</f>
        <v>0</v>
      </c>
      <c r="P89" s="163"/>
      <c r="Q89" s="164">
        <f t="shared" si="204"/>
        <v>0</v>
      </c>
      <c r="R89" s="164"/>
      <c r="S89" s="164"/>
      <c r="T89" s="164">
        <f t="shared" si="205"/>
        <v>0</v>
      </c>
      <c r="U89" s="164"/>
      <c r="V89" s="164"/>
      <c r="W89" s="164">
        <f t="shared" si="206"/>
        <v>0</v>
      </c>
      <c r="X89" s="164">
        <f>AA89-U89</f>
        <v>0</v>
      </c>
      <c r="Y89" s="164"/>
      <c r="Z89" s="164">
        <f t="shared" si="207"/>
        <v>0</v>
      </c>
      <c r="AA89" s="164">
        <v>0</v>
      </c>
      <c r="AB89" s="164"/>
      <c r="AC89" s="164">
        <f>AD89+AE89</f>
        <v>0</v>
      </c>
      <c r="AD89" s="164"/>
      <c r="AE89" s="164"/>
      <c r="AF89" s="164">
        <f>AG89+AH89</f>
        <v>0</v>
      </c>
      <c r="AG89" s="164"/>
      <c r="AH89" s="164"/>
      <c r="AI89" s="165">
        <f t="shared" si="209"/>
        <v>0</v>
      </c>
      <c r="AJ89" s="164"/>
      <c r="AK89" s="165">
        <f t="shared" si="210"/>
        <v>0</v>
      </c>
      <c r="AL89" s="165">
        <f t="shared" si="210"/>
        <v>0</v>
      </c>
      <c r="AM89" s="746"/>
      <c r="AN89" s="174"/>
      <c r="AO89" s="166">
        <v>1</v>
      </c>
      <c r="AP89" s="174"/>
      <c r="AQ89" s="174"/>
      <c r="AR89" s="174"/>
      <c r="AS89" s="164">
        <f t="shared" si="211"/>
        <v>0</v>
      </c>
      <c r="AT89" s="164"/>
      <c r="AU89" s="164"/>
      <c r="AV89" s="164">
        <f t="shared" si="212"/>
        <v>0</v>
      </c>
      <c r="AW89" s="164">
        <f>AZ89-AT89</f>
        <v>0</v>
      </c>
      <c r="AX89" s="164"/>
      <c r="AY89" s="164">
        <f t="shared" si="213"/>
        <v>0</v>
      </c>
      <c r="AZ89" s="164"/>
      <c r="BA89" s="164"/>
      <c r="BB89" s="164">
        <f t="shared" si="214"/>
        <v>0</v>
      </c>
      <c r="BC89" s="164"/>
      <c r="BD89" s="164"/>
      <c r="BE89" s="164">
        <f t="shared" si="215"/>
        <v>0</v>
      </c>
      <c r="BF89" s="164">
        <f>BW89-BC89</f>
        <v>0</v>
      </c>
      <c r="BG89" s="164"/>
      <c r="BH89" s="164">
        <f t="shared" si="216"/>
        <v>0</v>
      </c>
      <c r="BI89" s="164"/>
      <c r="BJ89" s="164"/>
      <c r="BK89" s="167">
        <v>1</v>
      </c>
      <c r="BL89" s="168">
        <f t="shared" si="217"/>
        <v>0</v>
      </c>
      <c r="BM89" s="168"/>
      <c r="BN89" s="168"/>
      <c r="BO89" s="168"/>
      <c r="BP89" s="168"/>
      <c r="BQ89" s="168"/>
      <c r="BR89" s="168"/>
      <c r="BS89" s="168">
        <f>BT89+BU89</f>
        <v>0</v>
      </c>
      <c r="BT89" s="168">
        <f>AZ89-BN89-BQ89</f>
        <v>0</v>
      </c>
      <c r="BU89" s="168"/>
      <c r="BV89" s="164">
        <f t="shared" si="218"/>
        <v>0</v>
      </c>
      <c r="BW89" s="164"/>
      <c r="BX89" s="164"/>
      <c r="BY89" s="164">
        <f t="shared" si="219"/>
        <v>0</v>
      </c>
      <c r="BZ89" s="164">
        <f>CC89-BW89</f>
        <v>0</v>
      </c>
      <c r="CA89" s="164"/>
      <c r="CB89" s="164">
        <f t="shared" si="220"/>
        <v>0</v>
      </c>
      <c r="CC89" s="164"/>
      <c r="CD89" s="164"/>
      <c r="CE89" s="168">
        <v>1</v>
      </c>
      <c r="CF89" s="168">
        <f t="shared" si="221"/>
        <v>0</v>
      </c>
      <c r="CG89" s="164"/>
      <c r="CH89" s="164">
        <f t="shared" si="222"/>
        <v>0</v>
      </c>
      <c r="CI89" s="164"/>
      <c r="CJ89" s="164"/>
      <c r="CK89" s="164">
        <f t="shared" si="223"/>
        <v>50000</v>
      </c>
      <c r="CL89" s="164">
        <f>CR89-CI89</f>
        <v>50000</v>
      </c>
      <c r="CM89" s="164"/>
      <c r="CN89" s="164"/>
      <c r="CO89" s="164"/>
      <c r="CP89" s="164"/>
      <c r="CQ89" s="164">
        <f t="shared" si="224"/>
        <v>50000</v>
      </c>
      <c r="CR89" s="164">
        <v>50000</v>
      </c>
      <c r="CS89" s="164"/>
      <c r="CT89" s="164">
        <f t="shared" si="225"/>
        <v>0</v>
      </c>
      <c r="CU89" s="164"/>
      <c r="CV89" s="164"/>
      <c r="CW89" s="164">
        <f t="shared" si="226"/>
        <v>0</v>
      </c>
      <c r="CX89" s="164"/>
      <c r="CY89" s="164"/>
      <c r="CZ89" s="164">
        <f t="shared" si="227"/>
        <v>50000</v>
      </c>
      <c r="DA89" s="164">
        <v>50000</v>
      </c>
      <c r="DB89" s="164"/>
      <c r="DC89" s="164"/>
      <c r="DD89" s="164"/>
      <c r="DE89" s="164"/>
      <c r="DF89" s="164">
        <f t="shared" si="228"/>
        <v>0</v>
      </c>
      <c r="DG89" s="164">
        <f>DJ89-CX89</f>
        <v>0</v>
      </c>
      <c r="DH89" s="164"/>
      <c r="DI89" s="164">
        <f t="shared" si="229"/>
        <v>0</v>
      </c>
      <c r="DJ89" s="164">
        <v>0</v>
      </c>
      <c r="DK89" s="164"/>
      <c r="DL89" s="164">
        <f t="shared" si="230"/>
        <v>0</v>
      </c>
      <c r="DM89" s="164"/>
      <c r="DN89" s="164"/>
      <c r="DO89" s="164">
        <f t="shared" si="231"/>
        <v>0</v>
      </c>
      <c r="DP89" s="164"/>
      <c r="DQ89" s="164"/>
      <c r="DR89" s="164">
        <f t="shared" si="232"/>
        <v>0</v>
      </c>
      <c r="DS89" s="164"/>
      <c r="DT89" s="164"/>
      <c r="DU89" s="144">
        <f t="shared" si="233"/>
        <v>50000</v>
      </c>
      <c r="DV89" s="164">
        <v>50000</v>
      </c>
      <c r="DW89" s="164"/>
      <c r="DX89" s="164">
        <f t="shared" si="234"/>
        <v>55000</v>
      </c>
      <c r="DY89" s="164">
        <v>55000</v>
      </c>
      <c r="DZ89" s="164"/>
      <c r="EA89" s="164"/>
      <c r="EB89" s="164"/>
      <c r="EC89" s="164"/>
      <c r="ED89" s="164">
        <f>EE89</f>
        <v>-50000</v>
      </c>
      <c r="EE89" s="164">
        <f>EH89-DV89</f>
        <v>-50000</v>
      </c>
      <c r="EF89" s="164"/>
      <c r="EG89" s="164">
        <f>EH89</f>
        <v>0</v>
      </c>
      <c r="EH89" s="164">
        <v>0</v>
      </c>
      <c r="EI89" s="164"/>
      <c r="EJ89" s="164"/>
      <c r="EK89" s="164">
        <f t="shared" si="235"/>
        <v>0</v>
      </c>
      <c r="EL89" s="164"/>
      <c r="EM89" s="164"/>
      <c r="EN89" s="164"/>
      <c r="EO89" s="164">
        <f t="shared" si="236"/>
        <v>0</v>
      </c>
      <c r="EP89" s="164"/>
      <c r="EQ89" s="164"/>
      <c r="ER89" s="164"/>
      <c r="ES89" s="164">
        <f>ET89+EV89</f>
        <v>32057.762330000001</v>
      </c>
      <c r="ET89" s="164">
        <f>FP89-EH89</f>
        <v>32057.762330000001</v>
      </c>
      <c r="EU89" s="164"/>
      <c r="EV89" s="164"/>
      <c r="EW89" s="144">
        <f t="shared" si="237"/>
        <v>55000</v>
      </c>
      <c r="EX89" s="164">
        <v>55000</v>
      </c>
      <c r="EY89" s="164"/>
      <c r="EZ89" s="164">
        <f>FA89</f>
        <v>-22942.237669999999</v>
      </c>
      <c r="FA89" s="164">
        <f>FD89-EW89</f>
        <v>-22942.237669999999</v>
      </c>
      <c r="FB89" s="164"/>
      <c r="FC89" s="163">
        <f>FD89</f>
        <v>32057.762330000001</v>
      </c>
      <c r="FD89" s="163">
        <v>32057.762330000001</v>
      </c>
      <c r="FE89" s="163"/>
      <c r="FF89" s="163"/>
      <c r="FG89" s="163">
        <f>FH89+FJ89</f>
        <v>0</v>
      </c>
      <c r="FH89" s="163">
        <f>FP89-FD89</f>
        <v>0</v>
      </c>
      <c r="FI89" s="163"/>
      <c r="FJ89" s="163"/>
      <c r="FK89" s="163">
        <f t="shared" si="238"/>
        <v>0</v>
      </c>
      <c r="FL89" s="163"/>
      <c r="FM89" s="163"/>
      <c r="FN89" s="163"/>
      <c r="FO89" s="163">
        <f>FP89</f>
        <v>32057.762330000001</v>
      </c>
      <c r="FP89" s="163">
        <v>32057.762330000001</v>
      </c>
      <c r="FQ89" s="163"/>
      <c r="FR89" s="163"/>
      <c r="FS89" s="90">
        <f t="shared" si="195"/>
        <v>34847.737330000004</v>
      </c>
      <c r="FT89" s="518">
        <f t="shared" si="81"/>
        <v>1.0870296239419404</v>
      </c>
      <c r="FU89" s="90">
        <v>34847.737330000004</v>
      </c>
      <c r="FV89" s="518">
        <f t="shared" si="82"/>
        <v>1.0870296239419404</v>
      </c>
      <c r="FW89" s="87"/>
      <c r="FX89" s="665"/>
      <c r="FY89" s="90"/>
      <c r="FZ89" s="665"/>
      <c r="GA89" s="90">
        <f t="shared" si="83"/>
        <v>32057.762330000001</v>
      </c>
      <c r="GB89" s="518">
        <f t="shared" si="84"/>
        <v>1</v>
      </c>
      <c r="GC89" s="90">
        <f>FD89</f>
        <v>32057.762330000001</v>
      </c>
      <c r="GD89" s="518">
        <f t="shared" si="85"/>
        <v>1</v>
      </c>
      <c r="GE89" s="87"/>
      <c r="GF89" s="515"/>
      <c r="GG89" s="87"/>
      <c r="GH89" s="515"/>
      <c r="GI89" s="90">
        <f>GK89+GM89+GO89</f>
        <v>32057.762330000001</v>
      </c>
      <c r="GJ89" s="518">
        <f t="shared" si="86"/>
        <v>1</v>
      </c>
      <c r="GK89" s="90">
        <v>32057.762330000001</v>
      </c>
      <c r="GL89" s="518">
        <f t="shared" si="87"/>
        <v>1</v>
      </c>
      <c r="GM89" s="90"/>
      <c r="GN89" s="518"/>
      <c r="GO89" s="90"/>
      <c r="GP89" s="518"/>
      <c r="GQ89" s="164"/>
      <c r="GR89" s="164"/>
      <c r="GS89" s="164"/>
      <c r="GT89" s="164"/>
      <c r="GU89" s="164">
        <f>GV89</f>
        <v>4000</v>
      </c>
      <c r="GV89" s="164">
        <v>4000</v>
      </c>
      <c r="GW89" s="164"/>
      <c r="GX89" s="164"/>
      <c r="GY89" s="164"/>
      <c r="GZ89" s="164"/>
      <c r="HA89" s="164"/>
      <c r="HB89" s="164"/>
      <c r="HC89" s="164"/>
      <c r="HD89" s="164"/>
      <c r="HE89" s="164"/>
      <c r="HF89" s="164"/>
      <c r="HG89" s="164">
        <f>HH89</f>
        <v>0</v>
      </c>
      <c r="HH89" s="164">
        <v>0</v>
      </c>
      <c r="HI89" s="164"/>
      <c r="HJ89" s="164"/>
      <c r="HK89" s="164">
        <f>HL89</f>
        <v>0</v>
      </c>
      <c r="HL89" s="164">
        <f>HP89-GV89</f>
        <v>0</v>
      </c>
      <c r="HM89" s="164"/>
      <c r="HN89" s="164"/>
      <c r="HO89" s="164">
        <f>HP89</f>
        <v>4000</v>
      </c>
      <c r="HP89" s="164">
        <v>4000</v>
      </c>
      <c r="HQ89" s="164"/>
      <c r="HR89" s="164"/>
      <c r="HS89" s="164">
        <f>HT89</f>
        <v>0</v>
      </c>
      <c r="HT89" s="164">
        <v>0</v>
      </c>
      <c r="HU89" s="164"/>
      <c r="HV89" s="164"/>
      <c r="HW89" s="164">
        <f>HX89</f>
        <v>0</v>
      </c>
      <c r="HX89" s="164">
        <f>IB89-HT89</f>
        <v>0</v>
      </c>
      <c r="HY89" s="164"/>
      <c r="HZ89" s="164"/>
      <c r="IA89" s="164">
        <f>IB89</f>
        <v>0</v>
      </c>
      <c r="IB89" s="164">
        <v>0</v>
      </c>
      <c r="IC89" s="164"/>
      <c r="ID89" s="164"/>
      <c r="IE89" s="185"/>
      <c r="IF89" s="170"/>
      <c r="IG89" s="170"/>
      <c r="IH89" s="170"/>
    </row>
    <row r="90" spans="2:242" s="171" customFormat="1" ht="42" hidden="1" customHeight="1" x14ac:dyDescent="0.25">
      <c r="B90" s="160"/>
      <c r="C90" s="161"/>
      <c r="D90" s="162" t="s">
        <v>149</v>
      </c>
      <c r="E90" s="163">
        <f t="shared" si="200"/>
        <v>0</v>
      </c>
      <c r="F90" s="163"/>
      <c r="G90" s="163"/>
      <c r="H90" s="163">
        <f t="shared" si="201"/>
        <v>0</v>
      </c>
      <c r="I90" s="163">
        <f>L90-F90</f>
        <v>0</v>
      </c>
      <c r="J90" s="163"/>
      <c r="K90" s="163">
        <f t="shared" si="202"/>
        <v>0</v>
      </c>
      <c r="L90" s="163"/>
      <c r="M90" s="163"/>
      <c r="N90" s="163">
        <f t="shared" si="203"/>
        <v>0</v>
      </c>
      <c r="O90" s="163">
        <f>R90-L90</f>
        <v>0</v>
      </c>
      <c r="P90" s="163"/>
      <c r="Q90" s="164">
        <f t="shared" si="204"/>
        <v>0</v>
      </c>
      <c r="R90" s="164"/>
      <c r="S90" s="164"/>
      <c r="T90" s="164">
        <f t="shared" si="205"/>
        <v>0</v>
      </c>
      <c r="U90" s="164"/>
      <c r="V90" s="164"/>
      <c r="W90" s="164">
        <f t="shared" si="206"/>
        <v>0</v>
      </c>
      <c r="X90" s="164">
        <f>AA90-U90</f>
        <v>0</v>
      </c>
      <c r="Y90" s="164"/>
      <c r="Z90" s="164">
        <f t="shared" si="207"/>
        <v>0</v>
      </c>
      <c r="AA90" s="164"/>
      <c r="AB90" s="164"/>
      <c r="AC90" s="164">
        <f>AD90+AE90</f>
        <v>0</v>
      </c>
      <c r="AD90" s="164"/>
      <c r="AE90" s="164"/>
      <c r="AF90" s="164">
        <f>AG90+AH90</f>
        <v>0</v>
      </c>
      <c r="AG90" s="164"/>
      <c r="AH90" s="164"/>
      <c r="AI90" s="165">
        <f t="shared" si="209"/>
        <v>0</v>
      </c>
      <c r="AJ90" s="164"/>
      <c r="AK90" s="165">
        <f t="shared" si="210"/>
        <v>0</v>
      </c>
      <c r="AL90" s="165">
        <f t="shared" si="210"/>
        <v>0</v>
      </c>
      <c r="AM90" s="746"/>
      <c r="AN90" s="174"/>
      <c r="AO90" s="166">
        <v>1</v>
      </c>
      <c r="AP90" s="174"/>
      <c r="AQ90" s="174"/>
      <c r="AR90" s="174"/>
      <c r="AS90" s="164">
        <f t="shared" si="211"/>
        <v>1000</v>
      </c>
      <c r="AT90" s="164">
        <v>1000</v>
      </c>
      <c r="AU90" s="164"/>
      <c r="AV90" s="164">
        <f t="shared" si="212"/>
        <v>0</v>
      </c>
      <c r="AW90" s="164">
        <f>AZ90-AT90</f>
        <v>0</v>
      </c>
      <c r="AX90" s="164"/>
      <c r="AY90" s="164">
        <f t="shared" si="213"/>
        <v>1000</v>
      </c>
      <c r="AZ90" s="164">
        <v>1000</v>
      </c>
      <c r="BA90" s="164"/>
      <c r="BB90" s="164">
        <f t="shared" si="214"/>
        <v>50000</v>
      </c>
      <c r="BC90" s="164">
        <v>50000</v>
      </c>
      <c r="BD90" s="164"/>
      <c r="BE90" s="164">
        <f t="shared" si="215"/>
        <v>0</v>
      </c>
      <c r="BF90" s="164">
        <f>BW90-BC90</f>
        <v>0</v>
      </c>
      <c r="BG90" s="164"/>
      <c r="BH90" s="164">
        <f t="shared" si="216"/>
        <v>1000</v>
      </c>
      <c r="BI90" s="164">
        <v>1000</v>
      </c>
      <c r="BJ90" s="164"/>
      <c r="BK90" s="167">
        <v>1</v>
      </c>
      <c r="BL90" s="168">
        <f t="shared" si="217"/>
        <v>1000</v>
      </c>
      <c r="BM90" s="168"/>
      <c r="BN90" s="168"/>
      <c r="BO90" s="168"/>
      <c r="BP90" s="168"/>
      <c r="BQ90" s="168"/>
      <c r="BR90" s="168"/>
      <c r="BS90" s="168">
        <f>BT90+BU90</f>
        <v>1000</v>
      </c>
      <c r="BT90" s="168">
        <f>AZ90-BN90-BQ90</f>
        <v>1000</v>
      </c>
      <c r="BU90" s="168"/>
      <c r="BV90" s="164">
        <f t="shared" si="218"/>
        <v>50000</v>
      </c>
      <c r="BW90" s="164">
        <v>50000</v>
      </c>
      <c r="BX90" s="164"/>
      <c r="BY90" s="164">
        <f t="shared" si="219"/>
        <v>0</v>
      </c>
      <c r="BZ90" s="164">
        <f>CC90-BI90</f>
        <v>0</v>
      </c>
      <c r="CA90" s="164"/>
      <c r="CB90" s="164">
        <f t="shared" si="220"/>
        <v>1000</v>
      </c>
      <c r="CC90" s="164">
        <v>1000</v>
      </c>
      <c r="CD90" s="164"/>
      <c r="CE90" s="168">
        <v>1</v>
      </c>
      <c r="CF90" s="168">
        <f t="shared" si="221"/>
        <v>1000</v>
      </c>
      <c r="CG90" s="164"/>
      <c r="CH90" s="164">
        <f t="shared" si="222"/>
        <v>50000</v>
      </c>
      <c r="CI90" s="164">
        <v>50000</v>
      </c>
      <c r="CJ90" s="164"/>
      <c r="CK90" s="164">
        <f t="shared" si="223"/>
        <v>-50000</v>
      </c>
      <c r="CL90" s="164">
        <f>CR90-CI90</f>
        <v>-50000</v>
      </c>
      <c r="CM90" s="164"/>
      <c r="CN90" s="164"/>
      <c r="CO90" s="164"/>
      <c r="CP90" s="164"/>
      <c r="CQ90" s="164">
        <f t="shared" si="224"/>
        <v>0</v>
      </c>
      <c r="CR90" s="164"/>
      <c r="CS90" s="164"/>
      <c r="CT90" s="164">
        <f t="shared" si="225"/>
        <v>0</v>
      </c>
      <c r="CU90" s="164"/>
      <c r="CV90" s="164"/>
      <c r="CW90" s="164">
        <f t="shared" si="226"/>
        <v>2774.20597</v>
      </c>
      <c r="CX90" s="164">
        <v>2774.20597</v>
      </c>
      <c r="CY90" s="164"/>
      <c r="CZ90" s="164">
        <f t="shared" si="227"/>
        <v>0</v>
      </c>
      <c r="DA90" s="164">
        <v>0</v>
      </c>
      <c r="DB90" s="164"/>
      <c r="DC90" s="164"/>
      <c r="DD90" s="164"/>
      <c r="DE90" s="164"/>
      <c r="DF90" s="164">
        <f t="shared" si="228"/>
        <v>0</v>
      </c>
      <c r="DG90" s="164">
        <f>DJ90-CX90</f>
        <v>0</v>
      </c>
      <c r="DH90" s="164"/>
      <c r="DI90" s="164">
        <f t="shared" si="229"/>
        <v>2774.20597</v>
      </c>
      <c r="DJ90" s="164">
        <f>1000+1274.20597+500</f>
        <v>2774.20597</v>
      </c>
      <c r="DK90" s="164"/>
      <c r="DL90" s="164">
        <f t="shared" si="230"/>
        <v>2274.20597</v>
      </c>
      <c r="DM90" s="164">
        <f>DJ90-500</f>
        <v>2274.20597</v>
      </c>
      <c r="DN90" s="164"/>
      <c r="DO90" s="164">
        <f t="shared" si="231"/>
        <v>0</v>
      </c>
      <c r="DP90" s="164">
        <v>0</v>
      </c>
      <c r="DQ90" s="164"/>
      <c r="DR90" s="164">
        <f t="shared" si="232"/>
        <v>500</v>
      </c>
      <c r="DS90" s="164">
        <f>DJ90-DM90-DP90</f>
        <v>500</v>
      </c>
      <c r="DT90" s="164"/>
      <c r="DU90" s="144">
        <f t="shared" si="233"/>
        <v>0</v>
      </c>
      <c r="DV90" s="164">
        <v>0</v>
      </c>
      <c r="DW90" s="164"/>
      <c r="DX90" s="164">
        <f t="shared" si="234"/>
        <v>0</v>
      </c>
      <c r="DY90" s="164">
        <v>0</v>
      </c>
      <c r="DZ90" s="164"/>
      <c r="EA90" s="164"/>
      <c r="EB90" s="164"/>
      <c r="EC90" s="164"/>
      <c r="ED90" s="164"/>
      <c r="EE90" s="164"/>
      <c r="EF90" s="164"/>
      <c r="EG90" s="164"/>
      <c r="EH90" s="164"/>
      <c r="EI90" s="164"/>
      <c r="EJ90" s="164"/>
      <c r="EK90" s="164">
        <f t="shared" si="235"/>
        <v>0</v>
      </c>
      <c r="EL90" s="164">
        <f>ET90-EH90</f>
        <v>0</v>
      </c>
      <c r="EM90" s="164"/>
      <c r="EN90" s="164"/>
      <c r="EO90" s="164">
        <f t="shared" si="236"/>
        <v>0</v>
      </c>
      <c r="EP90" s="164">
        <f>EX90-EL90</f>
        <v>0</v>
      </c>
      <c r="EQ90" s="164"/>
      <c r="ER90" s="164"/>
      <c r="ES90" s="163"/>
      <c r="ET90" s="164"/>
      <c r="EU90" s="164"/>
      <c r="EV90" s="164"/>
      <c r="EW90" s="144">
        <f t="shared" si="237"/>
        <v>0</v>
      </c>
      <c r="EX90" s="164">
        <v>0</v>
      </c>
      <c r="EY90" s="164"/>
      <c r="EZ90" s="164"/>
      <c r="FA90" s="164"/>
      <c r="FB90" s="164"/>
      <c r="FC90" s="163"/>
      <c r="FD90" s="163"/>
      <c r="FE90" s="163"/>
      <c r="FF90" s="163"/>
      <c r="FG90" s="163">
        <f>FH90+FJ90</f>
        <v>0</v>
      </c>
      <c r="FH90" s="163"/>
      <c r="FI90" s="163"/>
      <c r="FJ90" s="163"/>
      <c r="FK90" s="163">
        <f t="shared" si="238"/>
        <v>0</v>
      </c>
      <c r="FL90" s="163">
        <f>GV90-FH90</f>
        <v>0</v>
      </c>
      <c r="FM90" s="163"/>
      <c r="FN90" s="163"/>
      <c r="FO90" s="163"/>
      <c r="FP90" s="163"/>
      <c r="FQ90" s="163"/>
      <c r="FR90" s="163"/>
      <c r="FS90" s="39">
        <f t="shared" si="195"/>
        <v>0</v>
      </c>
      <c r="FT90" s="485" t="e">
        <f t="shared" si="81"/>
        <v>#DIV/0!</v>
      </c>
      <c r="FU90" s="39">
        <v>0</v>
      </c>
      <c r="FV90" s="485" t="e">
        <f t="shared" si="82"/>
        <v>#DIV/0!</v>
      </c>
      <c r="FW90" s="38"/>
      <c r="FX90" s="660"/>
      <c r="FY90" s="39"/>
      <c r="FZ90" s="660"/>
      <c r="GA90" s="39"/>
      <c r="GB90" s="485"/>
      <c r="GC90" s="39"/>
      <c r="GD90" s="485"/>
      <c r="GE90" s="82"/>
      <c r="GF90" s="498"/>
      <c r="GG90" s="82"/>
      <c r="GH90" s="498"/>
      <c r="GI90" s="90">
        <f>GK90+GM90+GO90</f>
        <v>64425.607020000003</v>
      </c>
      <c r="GJ90" s="485" t="e">
        <f t="shared" si="86"/>
        <v>#DIV/0!</v>
      </c>
      <c r="GK90" s="90">
        <f>GK362+GK393</f>
        <v>37228.272960000002</v>
      </c>
      <c r="GL90" s="485" t="e">
        <f t="shared" si="87"/>
        <v>#DIV/0!</v>
      </c>
      <c r="GM90" s="90">
        <f>GM362+GM393</f>
        <v>0</v>
      </c>
      <c r="GN90" s="485" t="e">
        <f>GM90/FE90</f>
        <v>#DIV/0!</v>
      </c>
      <c r="GO90" s="90">
        <f>GO362+GO393</f>
        <v>27197.334060000001</v>
      </c>
      <c r="GP90" s="485" t="e">
        <f>GO90/FF90</f>
        <v>#DIV/0!</v>
      </c>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c r="HX90" s="164"/>
      <c r="HY90" s="164"/>
      <c r="HZ90" s="164"/>
      <c r="IA90" s="164"/>
      <c r="IB90" s="164"/>
      <c r="IC90" s="164"/>
      <c r="ID90" s="164"/>
      <c r="IE90" s="169"/>
      <c r="IF90" s="170"/>
      <c r="IG90" s="170"/>
      <c r="IH90" s="170"/>
    </row>
    <row r="91" spans="2:242" s="202" customFormat="1" ht="126.75" customHeight="1" x14ac:dyDescent="0.25">
      <c r="B91" s="100" t="s">
        <v>176</v>
      </c>
      <c r="C91" s="101" t="s">
        <v>182</v>
      </c>
      <c r="D91" s="102"/>
      <c r="E91" s="103">
        <f t="shared" si="200"/>
        <v>0</v>
      </c>
      <c r="F91" s="104">
        <f>SUM(F93:F95)</f>
        <v>0</v>
      </c>
      <c r="G91" s="104">
        <f>SUM(G93:G95)</f>
        <v>0</v>
      </c>
      <c r="H91" s="103">
        <f t="shared" si="201"/>
        <v>0</v>
      </c>
      <c r="I91" s="104">
        <f>SUM(I93:I95)</f>
        <v>0</v>
      </c>
      <c r="J91" s="104"/>
      <c r="K91" s="103">
        <f t="shared" si="202"/>
        <v>0</v>
      </c>
      <c r="L91" s="104">
        <f>SUM(L93:L95)</f>
        <v>0</v>
      </c>
      <c r="M91" s="104">
        <f>SUM(M93:M95)</f>
        <v>0</v>
      </c>
      <c r="N91" s="103">
        <f t="shared" si="203"/>
        <v>0</v>
      </c>
      <c r="O91" s="104">
        <f>SUM(O93:O95)</f>
        <v>0</v>
      </c>
      <c r="P91" s="104"/>
      <c r="Q91" s="105">
        <f t="shared" si="204"/>
        <v>0</v>
      </c>
      <c r="R91" s="106">
        <f>SUM(R93:R95)</f>
        <v>0</v>
      </c>
      <c r="S91" s="106">
        <f>SUM(S93:S95)</f>
        <v>0</v>
      </c>
      <c r="T91" s="105">
        <f t="shared" si="205"/>
        <v>0</v>
      </c>
      <c r="U91" s="106">
        <f>SUM(U93:U95)</f>
        <v>0</v>
      </c>
      <c r="V91" s="106">
        <f>SUM(V93:V95)</f>
        <v>0</v>
      </c>
      <c r="W91" s="105">
        <f t="shared" si="206"/>
        <v>0</v>
      </c>
      <c r="X91" s="106">
        <f>SUM(X93:X95)</f>
        <v>0</v>
      </c>
      <c r="Y91" s="106"/>
      <c r="Z91" s="105">
        <f t="shared" si="207"/>
        <v>0</v>
      </c>
      <c r="AA91" s="106">
        <f>SUM(AA93:AA95)</f>
        <v>0</v>
      </c>
      <c r="AB91" s="106">
        <f>SUM(AB93:AB95)</f>
        <v>0</v>
      </c>
      <c r="AC91" s="105">
        <f>AD91+AE91</f>
        <v>35965.071989999997</v>
      </c>
      <c r="AD91" s="106">
        <f>SUM(AD93:AD95)</f>
        <v>35965.071989999997</v>
      </c>
      <c r="AE91" s="106">
        <f>SUM(AE93:AE95)</f>
        <v>0</v>
      </c>
      <c r="AF91" s="105">
        <f>AG91+AH91</f>
        <v>35965.071989999997</v>
      </c>
      <c r="AG91" s="106">
        <f>SUM(AG93:AG95)</f>
        <v>35965.071989999997</v>
      </c>
      <c r="AH91" s="106">
        <f>SUM(AH93:AH95)</f>
        <v>0</v>
      </c>
      <c r="AI91" s="106">
        <f t="shared" si="209"/>
        <v>0</v>
      </c>
      <c r="AJ91" s="106"/>
      <c r="AK91" s="106">
        <f t="shared" si="210"/>
        <v>0</v>
      </c>
      <c r="AL91" s="106">
        <f t="shared" si="210"/>
        <v>0</v>
      </c>
      <c r="AM91" s="106"/>
      <c r="AN91" s="106"/>
      <c r="AO91" s="109">
        <v>1</v>
      </c>
      <c r="AP91" s="106"/>
      <c r="AQ91" s="106"/>
      <c r="AR91" s="105">
        <f>AF91-AP91-AQ91</f>
        <v>35965.071989999997</v>
      </c>
      <c r="AS91" s="105">
        <f t="shared" si="211"/>
        <v>205500</v>
      </c>
      <c r="AT91" s="106">
        <f>SUM(AT93:AT95)</f>
        <v>205500</v>
      </c>
      <c r="AU91" s="106">
        <f>SUM(AU93:AU95)</f>
        <v>0</v>
      </c>
      <c r="AV91" s="105">
        <f t="shared" si="212"/>
        <v>68200</v>
      </c>
      <c r="AW91" s="106">
        <f>SUM(AW93:AW95)</f>
        <v>68200</v>
      </c>
      <c r="AX91" s="106"/>
      <c r="AY91" s="105">
        <f t="shared" si="213"/>
        <v>273700</v>
      </c>
      <c r="AZ91" s="106">
        <f>SUM(AZ93:AZ95)</f>
        <v>273700</v>
      </c>
      <c r="BA91" s="106">
        <f>SUM(BA93:BA95)</f>
        <v>0</v>
      </c>
      <c r="BB91" s="105">
        <f t="shared" si="214"/>
        <v>0</v>
      </c>
      <c r="BC91" s="106">
        <f>SUM(BC93:BC95)</f>
        <v>0</v>
      </c>
      <c r="BD91" s="106">
        <f>SUM(BD93:BD95)</f>
        <v>0</v>
      </c>
      <c r="BE91" s="105">
        <f t="shared" si="215"/>
        <v>0</v>
      </c>
      <c r="BF91" s="106">
        <f>SUM(BF93:BF95)</f>
        <v>0</v>
      </c>
      <c r="BG91" s="106"/>
      <c r="BH91" s="105">
        <f t="shared" si="216"/>
        <v>387274.83100000001</v>
      </c>
      <c r="BI91" s="106">
        <f>SUM(BI93:BI95)</f>
        <v>387274.83100000001</v>
      </c>
      <c r="BJ91" s="106">
        <f>SUM(BJ93:BJ95)</f>
        <v>0</v>
      </c>
      <c r="BK91" s="110">
        <v>1</v>
      </c>
      <c r="BL91" s="106">
        <f t="shared" si="217"/>
        <v>273700</v>
      </c>
      <c r="BM91" s="106"/>
      <c r="BN91" s="106"/>
      <c r="BO91" s="106"/>
      <c r="BP91" s="106"/>
      <c r="BQ91" s="106"/>
      <c r="BR91" s="106"/>
      <c r="BS91" s="106">
        <f>BS93+BS95</f>
        <v>273700</v>
      </c>
      <c r="BT91" s="106">
        <f>BT93+BT95</f>
        <v>273700</v>
      </c>
      <c r="BU91" s="106">
        <f>BU93+BU95</f>
        <v>0</v>
      </c>
      <c r="BV91" s="105">
        <f t="shared" si="218"/>
        <v>0</v>
      </c>
      <c r="BW91" s="106">
        <f>SUM(BW93:BW95)</f>
        <v>0</v>
      </c>
      <c r="BX91" s="106">
        <f>SUM(BX93:BX95)</f>
        <v>0</v>
      </c>
      <c r="BY91" s="105">
        <f t="shared" si="219"/>
        <v>0</v>
      </c>
      <c r="BZ91" s="106">
        <f>SUM(BZ93:BZ95)</f>
        <v>0</v>
      </c>
      <c r="CA91" s="106"/>
      <c r="CB91" s="105">
        <f t="shared" si="220"/>
        <v>0</v>
      </c>
      <c r="CC91" s="106">
        <f>SUM(CC93:CC95)</f>
        <v>0</v>
      </c>
      <c r="CD91" s="106">
        <f>SUM(CD93:CD95)</f>
        <v>0</v>
      </c>
      <c r="CE91" s="106">
        <v>1</v>
      </c>
      <c r="CF91" s="106">
        <f t="shared" si="221"/>
        <v>0</v>
      </c>
      <c r="CG91" s="111"/>
      <c r="CH91" s="105">
        <f t="shared" si="222"/>
        <v>0</v>
      </c>
      <c r="CI91" s="106">
        <f>SUM(CI93:CI95)</f>
        <v>0</v>
      </c>
      <c r="CJ91" s="106">
        <f>SUM(CJ93:CJ95)</f>
        <v>0</v>
      </c>
      <c r="CK91" s="105">
        <f t="shared" si="223"/>
        <v>244084.55559999999</v>
      </c>
      <c r="CL91" s="106">
        <f>SUM(CL93:CL95)</f>
        <v>244084.55559999999</v>
      </c>
      <c r="CM91" s="106"/>
      <c r="CN91" s="106">
        <f>CO91+CP91</f>
        <v>248461.3</v>
      </c>
      <c r="CO91" s="106">
        <f>248461.3</f>
        <v>248461.3</v>
      </c>
      <c r="CP91" s="106"/>
      <c r="CQ91" s="105">
        <f t="shared" si="224"/>
        <v>244084.55559999999</v>
      </c>
      <c r="CR91" s="106">
        <f>CR93+CR95</f>
        <v>244084.55559999999</v>
      </c>
      <c r="CS91" s="106">
        <f>SUM(CS93:CS95)</f>
        <v>0</v>
      </c>
      <c r="CT91" s="105">
        <f t="shared" si="225"/>
        <v>0</v>
      </c>
      <c r="CU91" s="106"/>
      <c r="CV91" s="106"/>
      <c r="CW91" s="105">
        <f t="shared" si="226"/>
        <v>0</v>
      </c>
      <c r="CX91" s="106">
        <f>SUM(CX93:CX95)</f>
        <v>0</v>
      </c>
      <c r="CY91" s="106">
        <f>SUM(CY93:CY95)</f>
        <v>0</v>
      </c>
      <c r="CZ91" s="105">
        <f t="shared" si="227"/>
        <v>0</v>
      </c>
      <c r="DA91" s="106">
        <f>DA93+DA95</f>
        <v>0</v>
      </c>
      <c r="DB91" s="106">
        <f>SUM(DB93:DB95)</f>
        <v>0</v>
      </c>
      <c r="DC91" s="106"/>
      <c r="DD91" s="106"/>
      <c r="DE91" s="106"/>
      <c r="DF91" s="105">
        <f t="shared" si="228"/>
        <v>0</v>
      </c>
      <c r="DG91" s="106">
        <f>SUM(DG93:DG95)</f>
        <v>0</v>
      </c>
      <c r="DH91" s="106">
        <f>SUM(DH93:DH95)</f>
        <v>0</v>
      </c>
      <c r="DI91" s="105">
        <f t="shared" si="229"/>
        <v>0</v>
      </c>
      <c r="DJ91" s="106">
        <f>SUM(DJ93:DJ95)</f>
        <v>0</v>
      </c>
      <c r="DK91" s="106">
        <f>SUM(DK93:DK95)</f>
        <v>0</v>
      </c>
      <c r="DL91" s="105">
        <f t="shared" si="230"/>
        <v>0</v>
      </c>
      <c r="DM91" s="106">
        <f>SUM(DM93:DM95)</f>
        <v>0</v>
      </c>
      <c r="DN91" s="106">
        <f>SUM(DN93:DN95)</f>
        <v>0</v>
      </c>
      <c r="DO91" s="105">
        <f t="shared" si="231"/>
        <v>0</v>
      </c>
      <c r="DP91" s="106">
        <f>SUM(DP93:DP95)</f>
        <v>0</v>
      </c>
      <c r="DQ91" s="106">
        <f>SUM(DQ93:DQ95)</f>
        <v>0</v>
      </c>
      <c r="DR91" s="105">
        <f t="shared" si="232"/>
        <v>0</v>
      </c>
      <c r="DS91" s="106">
        <f>SUM(DS93:DS95)</f>
        <v>0</v>
      </c>
      <c r="DT91" s="106">
        <f>SUM(DT93:DT95)</f>
        <v>0</v>
      </c>
      <c r="DU91" s="105">
        <f t="shared" si="233"/>
        <v>0</v>
      </c>
      <c r="DV91" s="106">
        <f>DV93+DV95</f>
        <v>0</v>
      </c>
      <c r="DW91" s="106"/>
      <c r="DX91" s="105">
        <f t="shared" si="234"/>
        <v>20250</v>
      </c>
      <c r="DY91" s="106">
        <f>DY93+DY95</f>
        <v>20250</v>
      </c>
      <c r="DZ91" s="106">
        <f>SUM(DZ93:DZ95)</f>
        <v>0</v>
      </c>
      <c r="EA91" s="106"/>
      <c r="EB91" s="106"/>
      <c r="EC91" s="106"/>
      <c r="ED91" s="106"/>
      <c r="EE91" s="106"/>
      <c r="EF91" s="106"/>
      <c r="EG91" s="106">
        <f>EH91+EJ91</f>
        <v>759750</v>
      </c>
      <c r="EH91" s="106">
        <f>SUM(EH93:EH95)</f>
        <v>759750</v>
      </c>
      <c r="EI91" s="106"/>
      <c r="EJ91" s="106"/>
      <c r="EK91" s="105">
        <f t="shared" si="235"/>
        <v>0</v>
      </c>
      <c r="EL91" s="106">
        <f>SUM(EL93:EL95)</f>
        <v>0</v>
      </c>
      <c r="EM91" s="106"/>
      <c r="EN91" s="106">
        <f>SUM(EN93:EN95)</f>
        <v>0</v>
      </c>
      <c r="EO91" s="105">
        <f t="shared" si="236"/>
        <v>0</v>
      </c>
      <c r="EP91" s="106">
        <f>SUM(EP93:EP95)</f>
        <v>0</v>
      </c>
      <c r="EQ91" s="106"/>
      <c r="ER91" s="106">
        <f>SUM(ER93:ER95)</f>
        <v>0</v>
      </c>
      <c r="ES91" s="106">
        <f>ET91+EV91</f>
        <v>0</v>
      </c>
      <c r="ET91" s="106">
        <f>ET93+ET95</f>
        <v>0</v>
      </c>
      <c r="EU91" s="106"/>
      <c r="EV91" s="106"/>
      <c r="EW91" s="105">
        <f t="shared" si="237"/>
        <v>20250</v>
      </c>
      <c r="EX91" s="106">
        <f>EX93+EX95</f>
        <v>20250</v>
      </c>
      <c r="EY91" s="106">
        <f>SUM(EY93:EY95)</f>
        <v>0</v>
      </c>
      <c r="EZ91" s="106"/>
      <c r="FA91" s="106"/>
      <c r="FB91" s="106"/>
      <c r="FC91" s="104">
        <f t="shared" ref="FC91:FC97" si="239">FD91</f>
        <v>409750</v>
      </c>
      <c r="FD91" s="104">
        <f>SUM(FD93:FD95)</f>
        <v>409750</v>
      </c>
      <c r="FE91" s="104"/>
      <c r="FF91" s="104"/>
      <c r="FG91" s="103">
        <f>FH91+FJ91</f>
        <v>0</v>
      </c>
      <c r="FH91" s="104">
        <f>SUM(FH93:FH95)</f>
        <v>0</v>
      </c>
      <c r="FI91" s="104"/>
      <c r="FJ91" s="104">
        <f>SUM(FJ93:FJ95)</f>
        <v>0</v>
      </c>
      <c r="FK91" s="103">
        <f t="shared" si="238"/>
        <v>0</v>
      </c>
      <c r="FL91" s="104">
        <f>SUM(FL93:FL95)</f>
        <v>0</v>
      </c>
      <c r="FM91" s="104"/>
      <c r="FN91" s="104">
        <f>SUM(FN93:FN95)</f>
        <v>0</v>
      </c>
      <c r="FO91" s="104">
        <f>FP91+FR91</f>
        <v>409750</v>
      </c>
      <c r="FP91" s="104">
        <f>SUM(FP93:FP95)</f>
        <v>409750</v>
      </c>
      <c r="FQ91" s="104"/>
      <c r="FR91" s="104"/>
      <c r="FS91" s="629">
        <f t="shared" si="195"/>
        <v>6160.63</v>
      </c>
      <c r="FT91" s="595">
        <f t="shared" si="81"/>
        <v>1.503509456985967E-2</v>
      </c>
      <c r="FU91" s="629">
        <f>FU92</f>
        <v>6160.63</v>
      </c>
      <c r="FV91" s="595">
        <f t="shared" si="82"/>
        <v>1.503509456985967E-2</v>
      </c>
      <c r="FW91" s="522"/>
      <c r="FX91" s="666"/>
      <c r="FY91" s="629"/>
      <c r="FZ91" s="666"/>
      <c r="GA91" s="629">
        <f t="shared" si="83"/>
        <v>6160.63</v>
      </c>
      <c r="GB91" s="595">
        <f t="shared" si="84"/>
        <v>1.503509456985967E-2</v>
      </c>
      <c r="GC91" s="629">
        <f>GC92+GC95</f>
        <v>6160.63</v>
      </c>
      <c r="GD91" s="595">
        <f t="shared" si="85"/>
        <v>1.503509456985967E-2</v>
      </c>
      <c r="GE91" s="522"/>
      <c r="GF91" s="514"/>
      <c r="GG91" s="522"/>
      <c r="GH91" s="514"/>
      <c r="GI91" s="629">
        <f>GK91+GM91+GO91</f>
        <v>10855.16634</v>
      </c>
      <c r="GJ91" s="595">
        <f t="shared" si="86"/>
        <v>2.649216922513728E-2</v>
      </c>
      <c r="GK91" s="629">
        <f>GK92</f>
        <v>10855.16634</v>
      </c>
      <c r="GL91" s="595">
        <f t="shared" si="87"/>
        <v>2.649216922513728E-2</v>
      </c>
      <c r="GM91" s="629"/>
      <c r="GN91" s="595"/>
      <c r="GO91" s="629"/>
      <c r="GP91" s="595"/>
      <c r="GQ91" s="106"/>
      <c r="GR91" s="106"/>
      <c r="GS91" s="106"/>
      <c r="GT91" s="106"/>
      <c r="GU91" s="105">
        <f>GV91+GX91</f>
        <v>746000</v>
      </c>
      <c r="GV91" s="106">
        <f>SUM(GV93:GV95)</f>
        <v>746000</v>
      </c>
      <c r="GW91" s="106"/>
      <c r="GX91" s="106"/>
      <c r="GY91" s="106"/>
      <c r="GZ91" s="106"/>
      <c r="HA91" s="106"/>
      <c r="HB91" s="106"/>
      <c r="HC91" s="106"/>
      <c r="HD91" s="106"/>
      <c r="HE91" s="106"/>
      <c r="HF91" s="106"/>
      <c r="HG91" s="105">
        <f>HH91+HJ91</f>
        <v>-310000</v>
      </c>
      <c r="HH91" s="106">
        <f>SUM(HH93:HH95)</f>
        <v>-310000</v>
      </c>
      <c r="HI91" s="106"/>
      <c r="HJ91" s="106"/>
      <c r="HK91" s="106">
        <f>HL91</f>
        <v>0</v>
      </c>
      <c r="HL91" s="106">
        <f>IF91-GZ91</f>
        <v>0</v>
      </c>
      <c r="HM91" s="106"/>
      <c r="HN91" s="106"/>
      <c r="HO91" s="105">
        <f>HP91+HR91</f>
        <v>436000</v>
      </c>
      <c r="HP91" s="106">
        <f>SUM(HP93:HP95)</f>
        <v>436000</v>
      </c>
      <c r="HQ91" s="106"/>
      <c r="HR91" s="106"/>
      <c r="HS91" s="105">
        <f>HT91+HV91</f>
        <v>40000</v>
      </c>
      <c r="HT91" s="106">
        <f>SUM(HT93:HT95)</f>
        <v>40000</v>
      </c>
      <c r="HU91" s="106"/>
      <c r="HV91" s="106"/>
      <c r="HW91" s="106">
        <f>HX91</f>
        <v>1000000</v>
      </c>
      <c r="HX91" s="106">
        <f>SUM(HX93:HX95)</f>
        <v>1000000</v>
      </c>
      <c r="HY91" s="106"/>
      <c r="HZ91" s="106"/>
      <c r="IA91" s="105">
        <f>IB91+ID91</f>
        <v>1040000</v>
      </c>
      <c r="IB91" s="106">
        <f>SUM(IB93:IB95)</f>
        <v>1040000</v>
      </c>
      <c r="IC91" s="106"/>
      <c r="ID91" s="106"/>
      <c r="IE91" s="199" t="s">
        <v>183</v>
      </c>
      <c r="IF91" s="173"/>
      <c r="IG91" s="173"/>
      <c r="IH91" s="173"/>
    </row>
    <row r="92" spans="2:242" s="202" customFormat="1" ht="45" customHeight="1" x14ac:dyDescent="0.25">
      <c r="B92" s="100"/>
      <c r="C92" s="101" t="s">
        <v>131</v>
      </c>
      <c r="D92" s="102"/>
      <c r="E92" s="103"/>
      <c r="F92" s="104"/>
      <c r="G92" s="104"/>
      <c r="H92" s="103"/>
      <c r="I92" s="104"/>
      <c r="J92" s="104"/>
      <c r="K92" s="103"/>
      <c r="L92" s="104"/>
      <c r="M92" s="104"/>
      <c r="N92" s="103"/>
      <c r="O92" s="104"/>
      <c r="P92" s="104"/>
      <c r="Q92" s="105"/>
      <c r="R92" s="106"/>
      <c r="S92" s="106"/>
      <c r="T92" s="105"/>
      <c r="U92" s="106"/>
      <c r="V92" s="106"/>
      <c r="W92" s="105"/>
      <c r="X92" s="106"/>
      <c r="Y92" s="106"/>
      <c r="Z92" s="105"/>
      <c r="AA92" s="106"/>
      <c r="AB92" s="106"/>
      <c r="AC92" s="105"/>
      <c r="AD92" s="106"/>
      <c r="AE92" s="106"/>
      <c r="AF92" s="105"/>
      <c r="AG92" s="106"/>
      <c r="AH92" s="106"/>
      <c r="AI92" s="106"/>
      <c r="AJ92" s="106"/>
      <c r="AK92" s="106"/>
      <c r="AL92" s="106"/>
      <c r="AM92" s="106"/>
      <c r="AN92" s="106"/>
      <c r="AO92" s="109"/>
      <c r="AP92" s="106"/>
      <c r="AQ92" s="106"/>
      <c r="AR92" s="105"/>
      <c r="AS92" s="105"/>
      <c r="AT92" s="106"/>
      <c r="AU92" s="106"/>
      <c r="AV92" s="105"/>
      <c r="AW92" s="106"/>
      <c r="AX92" s="106"/>
      <c r="AY92" s="105"/>
      <c r="AZ92" s="106"/>
      <c r="BA92" s="106"/>
      <c r="BB92" s="105"/>
      <c r="BC92" s="106"/>
      <c r="BD92" s="106"/>
      <c r="BE92" s="105"/>
      <c r="BF92" s="106"/>
      <c r="BG92" s="106"/>
      <c r="BH92" s="105"/>
      <c r="BI92" s="106"/>
      <c r="BJ92" s="106"/>
      <c r="BK92" s="110"/>
      <c r="BL92" s="106"/>
      <c r="BM92" s="106"/>
      <c r="BN92" s="106"/>
      <c r="BO92" s="106"/>
      <c r="BP92" s="106"/>
      <c r="BQ92" s="106"/>
      <c r="BR92" s="106"/>
      <c r="BS92" s="106"/>
      <c r="BT92" s="106"/>
      <c r="BU92" s="106"/>
      <c r="BV92" s="105"/>
      <c r="BW92" s="106"/>
      <c r="BX92" s="106"/>
      <c r="BY92" s="105"/>
      <c r="BZ92" s="106"/>
      <c r="CA92" s="106"/>
      <c r="CB92" s="105"/>
      <c r="CC92" s="106"/>
      <c r="CD92" s="106"/>
      <c r="CE92" s="106"/>
      <c r="CF92" s="106"/>
      <c r="CG92" s="111"/>
      <c r="CH92" s="105"/>
      <c r="CI92" s="106"/>
      <c r="CJ92" s="106"/>
      <c r="CK92" s="105"/>
      <c r="CL92" s="106"/>
      <c r="CM92" s="106"/>
      <c r="CN92" s="106"/>
      <c r="CO92" s="106"/>
      <c r="CP92" s="106"/>
      <c r="CQ92" s="105"/>
      <c r="CR92" s="106"/>
      <c r="CS92" s="106"/>
      <c r="CT92" s="105"/>
      <c r="CU92" s="106"/>
      <c r="CV92" s="106"/>
      <c r="CW92" s="105"/>
      <c r="CX92" s="106"/>
      <c r="CY92" s="106"/>
      <c r="CZ92" s="105"/>
      <c r="DA92" s="106"/>
      <c r="DB92" s="106"/>
      <c r="DC92" s="106"/>
      <c r="DD92" s="106"/>
      <c r="DE92" s="106"/>
      <c r="DF92" s="105"/>
      <c r="DG92" s="106"/>
      <c r="DH92" s="106"/>
      <c r="DI92" s="105"/>
      <c r="DJ92" s="106"/>
      <c r="DK92" s="106"/>
      <c r="DL92" s="105"/>
      <c r="DM92" s="106"/>
      <c r="DN92" s="106"/>
      <c r="DO92" s="105"/>
      <c r="DP92" s="106"/>
      <c r="DQ92" s="106"/>
      <c r="DR92" s="105"/>
      <c r="DS92" s="106"/>
      <c r="DT92" s="106"/>
      <c r="DU92" s="105"/>
      <c r="DV92" s="106"/>
      <c r="DW92" s="106"/>
      <c r="DX92" s="105"/>
      <c r="DY92" s="106"/>
      <c r="DZ92" s="106"/>
      <c r="EA92" s="106"/>
      <c r="EB92" s="106"/>
      <c r="EC92" s="106"/>
      <c r="ED92" s="106"/>
      <c r="EE92" s="106"/>
      <c r="EF92" s="106"/>
      <c r="EG92" s="106">
        <f>EH92</f>
        <v>20250</v>
      </c>
      <c r="EH92" s="106">
        <f>EH93+EH94</f>
        <v>20250</v>
      </c>
      <c r="EI92" s="106"/>
      <c r="EJ92" s="106"/>
      <c r="EK92" s="106">
        <f>EL92</f>
        <v>0</v>
      </c>
      <c r="EL92" s="106">
        <f>EL93+EL94</f>
        <v>0</v>
      </c>
      <c r="EM92" s="106"/>
      <c r="EN92" s="106"/>
      <c r="EO92" s="105"/>
      <c r="EP92" s="106"/>
      <c r="EQ92" s="106"/>
      <c r="ER92" s="106"/>
      <c r="ES92" s="106">
        <f>ET92</f>
        <v>0</v>
      </c>
      <c r="ET92" s="106">
        <f>ET93+ET94</f>
        <v>0</v>
      </c>
      <c r="EU92" s="106"/>
      <c r="EV92" s="106"/>
      <c r="EW92" s="105"/>
      <c r="EX92" s="106"/>
      <c r="EY92" s="106"/>
      <c r="EZ92" s="106"/>
      <c r="FA92" s="106"/>
      <c r="FB92" s="106"/>
      <c r="FC92" s="104">
        <f t="shared" si="239"/>
        <v>20250</v>
      </c>
      <c r="FD92" s="104">
        <f>FD93+FD94</f>
        <v>20250</v>
      </c>
      <c r="FE92" s="104"/>
      <c r="FF92" s="104"/>
      <c r="FG92" s="104">
        <f>FH92</f>
        <v>0</v>
      </c>
      <c r="FH92" s="104">
        <f>FH93+FH94</f>
        <v>0</v>
      </c>
      <c r="FI92" s="104"/>
      <c r="FJ92" s="104"/>
      <c r="FK92" s="103"/>
      <c r="FL92" s="104"/>
      <c r="FM92" s="104"/>
      <c r="FN92" s="104"/>
      <c r="FO92" s="104">
        <f t="shared" ref="FO92:FO97" si="240">FP92</f>
        <v>20250</v>
      </c>
      <c r="FP92" s="104">
        <f>FP93+FP94</f>
        <v>20250</v>
      </c>
      <c r="FQ92" s="104"/>
      <c r="FR92" s="104"/>
      <c r="FS92" s="629">
        <f t="shared" si="195"/>
        <v>6160.63</v>
      </c>
      <c r="FT92" s="595">
        <f t="shared" si="81"/>
        <v>0.30422864197530863</v>
      </c>
      <c r="FU92" s="629">
        <f>FU94</f>
        <v>6160.63</v>
      </c>
      <c r="FV92" s="595">
        <f t="shared" si="82"/>
        <v>0.30422864197530863</v>
      </c>
      <c r="FW92" s="522"/>
      <c r="FX92" s="666"/>
      <c r="FY92" s="629"/>
      <c r="FZ92" s="666"/>
      <c r="GA92" s="629">
        <f t="shared" si="83"/>
        <v>6160.63</v>
      </c>
      <c r="GB92" s="595">
        <f t="shared" si="84"/>
        <v>0.30422864197530863</v>
      </c>
      <c r="GC92" s="629">
        <f>GC94</f>
        <v>6160.63</v>
      </c>
      <c r="GD92" s="595">
        <f t="shared" si="85"/>
        <v>0.30422864197530863</v>
      </c>
      <c r="GE92" s="522"/>
      <c r="GF92" s="514"/>
      <c r="GG92" s="522"/>
      <c r="GH92" s="514"/>
      <c r="GI92" s="629">
        <f>GK92+GM92+GO92</f>
        <v>10855.16634</v>
      </c>
      <c r="GJ92" s="595">
        <f t="shared" si="86"/>
        <v>0.53605759703703704</v>
      </c>
      <c r="GK92" s="629">
        <f>GK93+GK94</f>
        <v>10855.16634</v>
      </c>
      <c r="GL92" s="595">
        <f t="shared" si="87"/>
        <v>0.53605759703703704</v>
      </c>
      <c r="GM92" s="629"/>
      <c r="GN92" s="595"/>
      <c r="GO92" s="629"/>
      <c r="GP92" s="595"/>
      <c r="GQ92" s="106"/>
      <c r="GR92" s="106"/>
      <c r="GS92" s="106"/>
      <c r="GT92" s="106"/>
      <c r="GU92" s="106">
        <f>GV92</f>
        <v>90000</v>
      </c>
      <c r="GV92" s="106">
        <f>GV93+GV94</f>
        <v>90000</v>
      </c>
      <c r="GW92" s="106"/>
      <c r="GX92" s="106"/>
      <c r="GY92" s="106"/>
      <c r="GZ92" s="106"/>
      <c r="HA92" s="106"/>
      <c r="HB92" s="106"/>
      <c r="HC92" s="106"/>
      <c r="HD92" s="106"/>
      <c r="HE92" s="106"/>
      <c r="HF92" s="106"/>
      <c r="HG92" s="106">
        <f>HH92</f>
        <v>0</v>
      </c>
      <c r="HH92" s="106">
        <f>HH93+HH94</f>
        <v>0</v>
      </c>
      <c r="HI92" s="106"/>
      <c r="HJ92" s="106"/>
      <c r="HK92" s="106"/>
      <c r="HL92" s="106"/>
      <c r="HM92" s="106"/>
      <c r="HN92" s="106"/>
      <c r="HO92" s="106">
        <f>HP92</f>
        <v>90000</v>
      </c>
      <c r="HP92" s="106">
        <f>HP93+HP94</f>
        <v>90000</v>
      </c>
      <c r="HQ92" s="106"/>
      <c r="HR92" s="106"/>
      <c r="HS92" s="106">
        <f>HT92</f>
        <v>40000</v>
      </c>
      <c r="HT92" s="106">
        <f>HT93+HT94</f>
        <v>40000</v>
      </c>
      <c r="HU92" s="106"/>
      <c r="HV92" s="106"/>
      <c r="HW92" s="106"/>
      <c r="HX92" s="106"/>
      <c r="HY92" s="106"/>
      <c r="HZ92" s="106"/>
      <c r="IA92" s="106">
        <f>IB92</f>
        <v>40000</v>
      </c>
      <c r="IB92" s="106">
        <f>IB93+IB94</f>
        <v>40000</v>
      </c>
      <c r="IC92" s="106"/>
      <c r="ID92" s="106"/>
      <c r="IE92" s="199"/>
      <c r="IF92" s="173"/>
      <c r="IG92" s="173"/>
      <c r="IH92" s="173"/>
    </row>
    <row r="93" spans="2:242" s="171" customFormat="1" ht="50.25" hidden="1" customHeight="1" x14ac:dyDescent="0.25">
      <c r="B93" s="160"/>
      <c r="C93" s="161" t="s">
        <v>161</v>
      </c>
      <c r="D93" s="162"/>
      <c r="E93" s="163">
        <f t="shared" si="200"/>
        <v>0</v>
      </c>
      <c r="F93" s="163"/>
      <c r="G93" s="163"/>
      <c r="H93" s="163">
        <f t="shared" si="201"/>
        <v>0</v>
      </c>
      <c r="I93" s="163">
        <f>L93-F93</f>
        <v>0</v>
      </c>
      <c r="J93" s="163"/>
      <c r="K93" s="163">
        <f t="shared" si="202"/>
        <v>0</v>
      </c>
      <c r="L93" s="163"/>
      <c r="M93" s="163"/>
      <c r="N93" s="163">
        <f t="shared" si="203"/>
        <v>0</v>
      </c>
      <c r="O93" s="163">
        <f>R93-L93</f>
        <v>0</v>
      </c>
      <c r="P93" s="163"/>
      <c r="Q93" s="164">
        <f t="shared" si="204"/>
        <v>0</v>
      </c>
      <c r="R93" s="164"/>
      <c r="S93" s="164"/>
      <c r="T93" s="164">
        <f t="shared" si="205"/>
        <v>0</v>
      </c>
      <c r="U93" s="164"/>
      <c r="V93" s="164"/>
      <c r="W93" s="164">
        <f t="shared" si="206"/>
        <v>0</v>
      </c>
      <c r="X93" s="164">
        <f>AA93-U93</f>
        <v>0</v>
      </c>
      <c r="Y93" s="164"/>
      <c r="Z93" s="164">
        <f t="shared" si="207"/>
        <v>0</v>
      </c>
      <c r="AA93" s="164"/>
      <c r="AB93" s="164"/>
      <c r="AC93" s="164">
        <f>AD93+AE93</f>
        <v>35965.071989999997</v>
      </c>
      <c r="AD93" s="164">
        <f>AG93-AA93</f>
        <v>35965.071989999997</v>
      </c>
      <c r="AE93" s="164"/>
      <c r="AF93" s="164">
        <f>AG93+AH93</f>
        <v>35965.071989999997</v>
      </c>
      <c r="AG93" s="164">
        <v>35965.071989999997</v>
      </c>
      <c r="AH93" s="164"/>
      <c r="AI93" s="165">
        <f t="shared" si="209"/>
        <v>0</v>
      </c>
      <c r="AJ93" s="164"/>
      <c r="AK93" s="165">
        <f t="shared" si="210"/>
        <v>0</v>
      </c>
      <c r="AL93" s="165">
        <f t="shared" si="210"/>
        <v>0</v>
      </c>
      <c r="AM93" s="164"/>
      <c r="AN93" s="164"/>
      <c r="AO93" s="166">
        <v>1</v>
      </c>
      <c r="AP93" s="164"/>
      <c r="AQ93" s="164"/>
      <c r="AR93" s="164">
        <f>AF93-AP93-AQ93</f>
        <v>35965.071989999997</v>
      </c>
      <c r="AS93" s="164">
        <f t="shared" si="211"/>
        <v>205500</v>
      </c>
      <c r="AT93" s="164">
        <v>205500</v>
      </c>
      <c r="AU93" s="164">
        <v>0</v>
      </c>
      <c r="AV93" s="164">
        <f t="shared" si="212"/>
        <v>68200</v>
      </c>
      <c r="AW93" s="164">
        <v>68200</v>
      </c>
      <c r="AX93" s="164"/>
      <c r="AY93" s="164">
        <f t="shared" si="213"/>
        <v>273700</v>
      </c>
      <c r="AZ93" s="164">
        <f>AT93+AW93</f>
        <v>273700</v>
      </c>
      <c r="BA93" s="164"/>
      <c r="BB93" s="164">
        <f t="shared" si="214"/>
        <v>0</v>
      </c>
      <c r="BC93" s="164"/>
      <c r="BD93" s="164"/>
      <c r="BE93" s="164">
        <f t="shared" si="215"/>
        <v>0</v>
      </c>
      <c r="BF93" s="164">
        <f>BW93-BC93</f>
        <v>0</v>
      </c>
      <c r="BG93" s="164"/>
      <c r="BH93" s="164">
        <f t="shared" si="216"/>
        <v>387274.83100000001</v>
      </c>
      <c r="BI93" s="164">
        <v>387274.83100000001</v>
      </c>
      <c r="BJ93" s="164"/>
      <c r="BK93" s="167">
        <v>1</v>
      </c>
      <c r="BL93" s="168">
        <f t="shared" si="217"/>
        <v>273700</v>
      </c>
      <c r="BM93" s="168"/>
      <c r="BN93" s="168"/>
      <c r="BO93" s="168"/>
      <c r="BP93" s="168"/>
      <c r="BQ93" s="168"/>
      <c r="BR93" s="168"/>
      <c r="BS93" s="168">
        <f>BT93+BU93</f>
        <v>273700</v>
      </c>
      <c r="BT93" s="168">
        <f>AZ93-BN93-BQ93</f>
        <v>273700</v>
      </c>
      <c r="BU93" s="168"/>
      <c r="BV93" s="164">
        <f t="shared" si="218"/>
        <v>0</v>
      </c>
      <c r="BW93" s="164"/>
      <c r="BX93" s="164"/>
      <c r="BY93" s="164">
        <f t="shared" si="219"/>
        <v>0</v>
      </c>
      <c r="BZ93" s="164"/>
      <c r="CA93" s="164"/>
      <c r="CB93" s="164">
        <f t="shared" si="220"/>
        <v>0</v>
      </c>
      <c r="CC93" s="164">
        <v>0</v>
      </c>
      <c r="CD93" s="164"/>
      <c r="CE93" s="168">
        <v>1</v>
      </c>
      <c r="CF93" s="168">
        <f t="shared" si="221"/>
        <v>0</v>
      </c>
      <c r="CG93" s="164"/>
      <c r="CH93" s="164">
        <f t="shared" si="222"/>
        <v>0</v>
      </c>
      <c r="CI93" s="164">
        <v>0</v>
      </c>
      <c r="CJ93" s="164">
        <v>0</v>
      </c>
      <c r="CK93" s="164">
        <f t="shared" si="223"/>
        <v>244084.55559999999</v>
      </c>
      <c r="CL93" s="164">
        <f>CR93-CI93</f>
        <v>244084.55559999999</v>
      </c>
      <c r="CM93" s="164"/>
      <c r="CN93" s="164"/>
      <c r="CO93" s="164"/>
      <c r="CP93" s="164"/>
      <c r="CQ93" s="164">
        <f t="shared" si="224"/>
        <v>244084.55559999999</v>
      </c>
      <c r="CR93" s="164">
        <v>244084.55559999999</v>
      </c>
      <c r="CS93" s="164">
        <v>0</v>
      </c>
      <c r="CT93" s="164">
        <f t="shared" si="225"/>
        <v>0</v>
      </c>
      <c r="CU93" s="164"/>
      <c r="CV93" s="164"/>
      <c r="CW93" s="164">
        <f t="shared" si="226"/>
        <v>0</v>
      </c>
      <c r="CX93" s="164">
        <v>0</v>
      </c>
      <c r="CY93" s="164"/>
      <c r="CZ93" s="164">
        <f t="shared" si="227"/>
        <v>0</v>
      </c>
      <c r="DA93" s="164">
        <v>0</v>
      </c>
      <c r="DB93" s="164">
        <v>0</v>
      </c>
      <c r="DC93" s="164"/>
      <c r="DD93" s="164"/>
      <c r="DE93" s="164"/>
      <c r="DF93" s="164">
        <f t="shared" si="228"/>
        <v>0</v>
      </c>
      <c r="DG93" s="164">
        <v>0</v>
      </c>
      <c r="DH93" s="164"/>
      <c r="DI93" s="164">
        <f t="shared" si="229"/>
        <v>0</v>
      </c>
      <c r="DJ93" s="164">
        <v>0</v>
      </c>
      <c r="DK93" s="164"/>
      <c r="DL93" s="164">
        <f t="shared" si="230"/>
        <v>0</v>
      </c>
      <c r="DM93" s="164">
        <v>0</v>
      </c>
      <c r="DN93" s="164"/>
      <c r="DO93" s="164">
        <f t="shared" si="231"/>
        <v>0</v>
      </c>
      <c r="DP93" s="164">
        <v>0</v>
      </c>
      <c r="DQ93" s="164"/>
      <c r="DR93" s="164">
        <f t="shared" si="232"/>
        <v>0</v>
      </c>
      <c r="DS93" s="164">
        <v>0</v>
      </c>
      <c r="DT93" s="164"/>
      <c r="DU93" s="164">
        <f t="shared" si="233"/>
        <v>0</v>
      </c>
      <c r="DV93" s="164">
        <v>0</v>
      </c>
      <c r="DW93" s="164"/>
      <c r="DX93" s="164">
        <f t="shared" si="234"/>
        <v>20250</v>
      </c>
      <c r="DY93" s="164">
        <v>20250</v>
      </c>
      <c r="DZ93" s="164">
        <v>0</v>
      </c>
      <c r="EA93" s="164"/>
      <c r="EB93" s="164"/>
      <c r="EC93" s="164"/>
      <c r="ED93" s="164"/>
      <c r="EE93" s="164"/>
      <c r="EF93" s="164"/>
      <c r="EG93" s="164">
        <f>EH93</f>
        <v>3950</v>
      </c>
      <c r="EH93" s="164">
        <v>3950</v>
      </c>
      <c r="EI93" s="164"/>
      <c r="EJ93" s="164"/>
      <c r="EK93" s="164">
        <f t="shared" si="235"/>
        <v>0</v>
      </c>
      <c r="EL93" s="164">
        <v>0</v>
      </c>
      <c r="EM93" s="164"/>
      <c r="EN93" s="164"/>
      <c r="EO93" s="164">
        <f t="shared" si="236"/>
        <v>0</v>
      </c>
      <c r="EP93" s="164">
        <v>0</v>
      </c>
      <c r="EQ93" s="164"/>
      <c r="ER93" s="164"/>
      <c r="ES93" s="164">
        <f>ET93+EV93</f>
        <v>0</v>
      </c>
      <c r="ET93" s="164">
        <f>ED93</f>
        <v>0</v>
      </c>
      <c r="EU93" s="164"/>
      <c r="EV93" s="164"/>
      <c r="EW93" s="164">
        <f t="shared" si="237"/>
        <v>20250</v>
      </c>
      <c r="EX93" s="164">
        <v>20250</v>
      </c>
      <c r="EY93" s="164">
        <v>0</v>
      </c>
      <c r="EZ93" s="164"/>
      <c r="FA93" s="164"/>
      <c r="FB93" s="164"/>
      <c r="FC93" s="163">
        <f t="shared" si="239"/>
        <v>0</v>
      </c>
      <c r="FD93" s="163">
        <v>0</v>
      </c>
      <c r="FE93" s="163"/>
      <c r="FF93" s="163"/>
      <c r="FG93" s="163">
        <f>FH93+FJ93</f>
        <v>3950</v>
      </c>
      <c r="FH93" s="163">
        <f>FP93-FD93</f>
        <v>3950</v>
      </c>
      <c r="FI93" s="163"/>
      <c r="FJ93" s="163"/>
      <c r="FK93" s="163">
        <f t="shared" si="238"/>
        <v>0</v>
      </c>
      <c r="FL93" s="163">
        <v>0</v>
      </c>
      <c r="FM93" s="163"/>
      <c r="FN93" s="163"/>
      <c r="FO93" s="163">
        <f t="shared" si="240"/>
        <v>3950</v>
      </c>
      <c r="FP93" s="163">
        <v>3950</v>
      </c>
      <c r="FQ93" s="163"/>
      <c r="FR93" s="163"/>
      <c r="FS93" s="629">
        <f t="shared" si="195"/>
        <v>0</v>
      </c>
      <c r="FT93" s="595" t="e">
        <f t="shared" si="81"/>
        <v>#DIV/0!</v>
      </c>
      <c r="FU93" s="629">
        <v>0</v>
      </c>
      <c r="FV93" s="595" t="e">
        <f t="shared" si="82"/>
        <v>#DIV/0!</v>
      </c>
      <c r="FW93" s="87"/>
      <c r="FX93" s="665"/>
      <c r="FY93" s="629"/>
      <c r="FZ93" s="665"/>
      <c r="GA93" s="629"/>
      <c r="GB93" s="595"/>
      <c r="GC93" s="629"/>
      <c r="GD93" s="518"/>
      <c r="GE93" s="87"/>
      <c r="GF93" s="515"/>
      <c r="GG93" s="87"/>
      <c r="GH93" s="515"/>
      <c r="GI93" s="90">
        <f>GK93</f>
        <v>0</v>
      </c>
      <c r="GJ93" s="518">
        <v>0</v>
      </c>
      <c r="GK93" s="90">
        <v>0</v>
      </c>
      <c r="GL93" s="518">
        <v>0</v>
      </c>
      <c r="GM93" s="90"/>
      <c r="GN93" s="518"/>
      <c r="GO93" s="90"/>
      <c r="GP93" s="518"/>
      <c r="GQ93" s="164"/>
      <c r="GR93" s="164"/>
      <c r="GS93" s="164"/>
      <c r="GT93" s="164"/>
      <c r="GU93" s="164">
        <f>GV93</f>
        <v>90000</v>
      </c>
      <c r="GV93" s="164">
        <v>90000</v>
      </c>
      <c r="GW93" s="164"/>
      <c r="GX93" s="164"/>
      <c r="GY93" s="164"/>
      <c r="GZ93" s="164"/>
      <c r="HA93" s="164"/>
      <c r="HB93" s="164"/>
      <c r="HC93" s="164"/>
      <c r="HD93" s="164"/>
      <c r="HE93" s="164"/>
      <c r="HF93" s="164"/>
      <c r="HG93" s="164">
        <f>HH93+HJ93</f>
        <v>0</v>
      </c>
      <c r="HH93" s="164">
        <v>0</v>
      </c>
      <c r="HI93" s="164"/>
      <c r="HJ93" s="164"/>
      <c r="HK93" s="164"/>
      <c r="HL93" s="164"/>
      <c r="HM93" s="164"/>
      <c r="HN93" s="164"/>
      <c r="HO93" s="164">
        <f>HP93</f>
        <v>90000</v>
      </c>
      <c r="HP93" s="164">
        <v>90000</v>
      </c>
      <c r="HQ93" s="164"/>
      <c r="HR93" s="164"/>
      <c r="HS93" s="164">
        <f>HT93</f>
        <v>40000</v>
      </c>
      <c r="HT93" s="164">
        <v>40000</v>
      </c>
      <c r="HU93" s="164"/>
      <c r="HV93" s="164"/>
      <c r="HW93" s="164"/>
      <c r="HX93" s="164"/>
      <c r="HY93" s="164"/>
      <c r="HZ93" s="164"/>
      <c r="IA93" s="164">
        <f>IB93</f>
        <v>40000</v>
      </c>
      <c r="IB93" s="164">
        <v>40000</v>
      </c>
      <c r="IC93" s="164"/>
      <c r="ID93" s="164"/>
      <c r="IE93" s="549"/>
      <c r="IF93" s="170"/>
      <c r="IG93" s="170"/>
      <c r="IH93" s="170"/>
    </row>
    <row r="94" spans="2:242" s="171" customFormat="1" ht="24" hidden="1" customHeight="1" x14ac:dyDescent="0.25">
      <c r="B94" s="160"/>
      <c r="C94" s="161" t="s">
        <v>148</v>
      </c>
      <c r="D94" s="162"/>
      <c r="E94" s="163"/>
      <c r="F94" s="163"/>
      <c r="G94" s="163"/>
      <c r="H94" s="163"/>
      <c r="I94" s="163"/>
      <c r="J94" s="163"/>
      <c r="K94" s="163"/>
      <c r="L94" s="163"/>
      <c r="M94" s="163"/>
      <c r="N94" s="163"/>
      <c r="O94" s="163"/>
      <c r="P94" s="163"/>
      <c r="Q94" s="164"/>
      <c r="R94" s="164"/>
      <c r="S94" s="164"/>
      <c r="T94" s="164"/>
      <c r="U94" s="164"/>
      <c r="V94" s="164"/>
      <c r="W94" s="164"/>
      <c r="X94" s="164"/>
      <c r="Y94" s="164"/>
      <c r="Z94" s="164"/>
      <c r="AA94" s="164"/>
      <c r="AB94" s="164"/>
      <c r="AC94" s="164"/>
      <c r="AD94" s="164"/>
      <c r="AE94" s="164"/>
      <c r="AF94" s="164"/>
      <c r="AG94" s="164"/>
      <c r="AH94" s="164"/>
      <c r="AI94" s="165"/>
      <c r="AJ94" s="164"/>
      <c r="AK94" s="165"/>
      <c r="AL94" s="165"/>
      <c r="AM94" s="164"/>
      <c r="AN94" s="164"/>
      <c r="AO94" s="166"/>
      <c r="AP94" s="164"/>
      <c r="AQ94" s="164"/>
      <c r="AR94" s="164"/>
      <c r="AS94" s="164"/>
      <c r="AT94" s="164"/>
      <c r="AU94" s="164"/>
      <c r="AV94" s="164"/>
      <c r="AW94" s="164"/>
      <c r="AX94" s="164"/>
      <c r="AY94" s="164"/>
      <c r="AZ94" s="164"/>
      <c r="BA94" s="164"/>
      <c r="BB94" s="164"/>
      <c r="BC94" s="164"/>
      <c r="BD94" s="164"/>
      <c r="BE94" s="164"/>
      <c r="BF94" s="164"/>
      <c r="BG94" s="164"/>
      <c r="BH94" s="164"/>
      <c r="BI94" s="164"/>
      <c r="BJ94" s="164"/>
      <c r="BK94" s="167"/>
      <c r="BL94" s="168"/>
      <c r="BM94" s="168"/>
      <c r="BN94" s="168"/>
      <c r="BO94" s="168"/>
      <c r="BP94" s="168"/>
      <c r="BQ94" s="168"/>
      <c r="BR94" s="168"/>
      <c r="BS94" s="168"/>
      <c r="BT94" s="168"/>
      <c r="BU94" s="168"/>
      <c r="BV94" s="164"/>
      <c r="BW94" s="164"/>
      <c r="BX94" s="164"/>
      <c r="BY94" s="164"/>
      <c r="BZ94" s="164"/>
      <c r="CA94" s="164"/>
      <c r="CB94" s="164"/>
      <c r="CC94" s="164"/>
      <c r="CD94" s="164"/>
      <c r="CE94" s="168"/>
      <c r="CF94" s="168"/>
      <c r="CG94" s="164"/>
      <c r="CH94" s="164"/>
      <c r="CI94" s="164"/>
      <c r="CJ94" s="164"/>
      <c r="CK94" s="164"/>
      <c r="CL94" s="164"/>
      <c r="CM94" s="164"/>
      <c r="CN94" s="164"/>
      <c r="CO94" s="164"/>
      <c r="CP94" s="164"/>
      <c r="CQ94" s="164"/>
      <c r="CR94" s="164"/>
      <c r="CS94" s="164"/>
      <c r="CT94" s="164"/>
      <c r="CU94" s="164"/>
      <c r="CV94" s="164"/>
      <c r="CW94" s="164"/>
      <c r="CX94" s="164"/>
      <c r="CY94" s="164"/>
      <c r="CZ94" s="164"/>
      <c r="DA94" s="164"/>
      <c r="DB94" s="164"/>
      <c r="DC94" s="164"/>
      <c r="DD94" s="164"/>
      <c r="DE94" s="164"/>
      <c r="DF94" s="164"/>
      <c r="DG94" s="164"/>
      <c r="DH94" s="164"/>
      <c r="DI94" s="164"/>
      <c r="DJ94" s="164"/>
      <c r="DK94" s="164"/>
      <c r="DL94" s="164"/>
      <c r="DM94" s="164"/>
      <c r="DN94" s="164"/>
      <c r="DO94" s="164"/>
      <c r="DP94" s="164"/>
      <c r="DQ94" s="164"/>
      <c r="DR94" s="164"/>
      <c r="DS94" s="164"/>
      <c r="DT94" s="164"/>
      <c r="DU94" s="164"/>
      <c r="DV94" s="164"/>
      <c r="DW94" s="164"/>
      <c r="DX94" s="164"/>
      <c r="DY94" s="164"/>
      <c r="DZ94" s="164"/>
      <c r="EA94" s="164"/>
      <c r="EB94" s="164"/>
      <c r="EC94" s="164"/>
      <c r="ED94" s="164"/>
      <c r="EE94" s="164"/>
      <c r="EF94" s="164"/>
      <c r="EG94" s="164">
        <f>EH94</f>
        <v>16300</v>
      </c>
      <c r="EH94" s="164">
        <v>16300</v>
      </c>
      <c r="EI94" s="164"/>
      <c r="EJ94" s="164"/>
      <c r="EK94" s="164">
        <f t="shared" si="235"/>
        <v>0</v>
      </c>
      <c r="EL94" s="164">
        <v>0</v>
      </c>
      <c r="EM94" s="164"/>
      <c r="EN94" s="164"/>
      <c r="EO94" s="164"/>
      <c r="EP94" s="164"/>
      <c r="EQ94" s="164"/>
      <c r="ER94" s="164"/>
      <c r="ES94" s="164">
        <f>ET94+EV94</f>
        <v>0</v>
      </c>
      <c r="ET94" s="164">
        <v>0</v>
      </c>
      <c r="EU94" s="164"/>
      <c r="EV94" s="164"/>
      <c r="EW94" s="164"/>
      <c r="EX94" s="164"/>
      <c r="EY94" s="164"/>
      <c r="EZ94" s="164"/>
      <c r="FA94" s="164"/>
      <c r="FB94" s="164"/>
      <c r="FC94" s="163">
        <f t="shared" si="239"/>
        <v>20250</v>
      </c>
      <c r="FD94" s="163">
        <v>20250</v>
      </c>
      <c r="FE94" s="163"/>
      <c r="FF94" s="163"/>
      <c r="FG94" s="163">
        <f>FH94+FJ94</f>
        <v>-3950</v>
      </c>
      <c r="FH94" s="163">
        <f>FP94-FD94</f>
        <v>-3950</v>
      </c>
      <c r="FI94" s="163"/>
      <c r="FJ94" s="163"/>
      <c r="FK94" s="163"/>
      <c r="FL94" s="163"/>
      <c r="FM94" s="163"/>
      <c r="FN94" s="163"/>
      <c r="FO94" s="163">
        <f t="shared" si="240"/>
        <v>16300</v>
      </c>
      <c r="FP94" s="163">
        <v>16300</v>
      </c>
      <c r="FQ94" s="163"/>
      <c r="FR94" s="163"/>
      <c r="FS94" s="90">
        <f t="shared" si="195"/>
        <v>6160.63</v>
      </c>
      <c r="FT94" s="595">
        <f t="shared" si="81"/>
        <v>0.30422864197530863</v>
      </c>
      <c r="FU94" s="90">
        <v>6160.63</v>
      </c>
      <c r="FV94" s="595">
        <f t="shared" si="82"/>
        <v>0.30422864197530863</v>
      </c>
      <c r="FW94" s="87"/>
      <c r="FX94" s="665"/>
      <c r="FY94" s="90"/>
      <c r="FZ94" s="665"/>
      <c r="GA94" s="90">
        <f>GC94</f>
        <v>6160.63</v>
      </c>
      <c r="GB94" s="595">
        <f t="shared" si="84"/>
        <v>0.30422864197530863</v>
      </c>
      <c r="GC94" s="90">
        <v>6160.63</v>
      </c>
      <c r="GD94" s="595">
        <f t="shared" si="85"/>
        <v>0.30422864197530863</v>
      </c>
      <c r="GE94" s="87"/>
      <c r="GF94" s="515"/>
      <c r="GG94" s="87"/>
      <c r="GH94" s="515"/>
      <c r="GI94" s="90">
        <f>GK94</f>
        <v>10855.16634</v>
      </c>
      <c r="GJ94" s="518">
        <f t="shared" si="86"/>
        <v>0.53605759703703704</v>
      </c>
      <c r="GK94" s="90">
        <v>10855.16634</v>
      </c>
      <c r="GL94" s="518">
        <f t="shared" si="87"/>
        <v>0.53605759703703704</v>
      </c>
      <c r="GM94" s="90"/>
      <c r="GN94" s="518"/>
      <c r="GO94" s="90"/>
      <c r="GP94" s="518"/>
      <c r="GQ94" s="164"/>
      <c r="GR94" s="164"/>
      <c r="GS94" s="164"/>
      <c r="GT94" s="164"/>
      <c r="GU94" s="164"/>
      <c r="GV94" s="164"/>
      <c r="GW94" s="164"/>
      <c r="GX94" s="164"/>
      <c r="GY94" s="164"/>
      <c r="GZ94" s="164"/>
      <c r="HA94" s="164"/>
      <c r="HB94" s="164"/>
      <c r="HC94" s="164"/>
      <c r="HD94" s="164"/>
      <c r="HE94" s="164"/>
      <c r="HF94" s="164"/>
      <c r="HG94" s="164">
        <f>HH94+HJ94</f>
        <v>0</v>
      </c>
      <c r="HH94" s="164"/>
      <c r="HI94" s="164"/>
      <c r="HJ94" s="164"/>
      <c r="HK94" s="164"/>
      <c r="HL94" s="164"/>
      <c r="HM94" s="164"/>
      <c r="HN94" s="164"/>
      <c r="HO94" s="164"/>
      <c r="HP94" s="164"/>
      <c r="HQ94" s="164"/>
      <c r="HR94" s="164"/>
      <c r="HS94" s="164"/>
      <c r="HT94" s="164"/>
      <c r="HU94" s="164"/>
      <c r="HV94" s="164"/>
      <c r="HW94" s="164"/>
      <c r="HX94" s="164"/>
      <c r="HY94" s="164"/>
      <c r="HZ94" s="164"/>
      <c r="IA94" s="164"/>
      <c r="IB94" s="164"/>
      <c r="IC94" s="164"/>
      <c r="ID94" s="164"/>
      <c r="IE94" s="549"/>
      <c r="IF94" s="170"/>
      <c r="IG94" s="170"/>
      <c r="IH94" s="170"/>
    </row>
    <row r="95" spans="2:242" s="127" customFormat="1" ht="46.5" customHeight="1" x14ac:dyDescent="0.25">
      <c r="B95" s="115"/>
      <c r="C95" s="116" t="s">
        <v>132</v>
      </c>
      <c r="D95" s="117"/>
      <c r="E95" s="118"/>
      <c r="F95" s="118"/>
      <c r="G95" s="118"/>
      <c r="H95" s="118"/>
      <c r="I95" s="118"/>
      <c r="J95" s="118"/>
      <c r="K95" s="118"/>
      <c r="L95" s="118"/>
      <c r="M95" s="118"/>
      <c r="N95" s="118"/>
      <c r="O95" s="118"/>
      <c r="P95" s="118"/>
      <c r="Q95" s="119"/>
      <c r="R95" s="119"/>
      <c r="S95" s="119"/>
      <c r="T95" s="119"/>
      <c r="U95" s="119"/>
      <c r="V95" s="119"/>
      <c r="W95" s="119"/>
      <c r="X95" s="119"/>
      <c r="Y95" s="119"/>
      <c r="Z95" s="119"/>
      <c r="AA95" s="119"/>
      <c r="AB95" s="119"/>
      <c r="AC95" s="119"/>
      <c r="AD95" s="119"/>
      <c r="AE95" s="119"/>
      <c r="AF95" s="119"/>
      <c r="AG95" s="119"/>
      <c r="AH95" s="119"/>
      <c r="AI95" s="120"/>
      <c r="AJ95" s="119"/>
      <c r="AK95" s="119"/>
      <c r="AL95" s="119"/>
      <c r="AM95" s="121"/>
      <c r="AN95" s="119"/>
      <c r="AO95" s="122"/>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23"/>
      <c r="BL95" s="124"/>
      <c r="BM95" s="124"/>
      <c r="BN95" s="124"/>
      <c r="BO95" s="124"/>
      <c r="BP95" s="124"/>
      <c r="BQ95" s="124"/>
      <c r="BR95" s="124"/>
      <c r="BS95" s="124"/>
      <c r="BT95" s="124"/>
      <c r="BU95" s="124"/>
      <c r="BV95" s="119"/>
      <c r="BW95" s="119"/>
      <c r="BX95" s="119"/>
      <c r="BY95" s="119"/>
      <c r="BZ95" s="119"/>
      <c r="CA95" s="119"/>
      <c r="CB95" s="119"/>
      <c r="CC95" s="119"/>
      <c r="CD95" s="119"/>
      <c r="CE95" s="124"/>
      <c r="CF95" s="124"/>
      <c r="CG95" s="119"/>
      <c r="CH95" s="119"/>
      <c r="CI95" s="119"/>
      <c r="CJ95" s="119"/>
      <c r="CK95" s="119"/>
      <c r="CL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c r="EC95" s="119"/>
      <c r="ED95" s="119"/>
      <c r="EE95" s="119"/>
      <c r="EF95" s="119"/>
      <c r="EG95" s="119">
        <f>EH95</f>
        <v>739500</v>
      </c>
      <c r="EH95" s="119">
        <v>739500</v>
      </c>
      <c r="EI95" s="119"/>
      <c r="EJ95" s="119"/>
      <c r="EK95" s="119">
        <f t="shared" si="235"/>
        <v>0</v>
      </c>
      <c r="EL95" s="119"/>
      <c r="EM95" s="119"/>
      <c r="EN95" s="119"/>
      <c r="EO95" s="119"/>
      <c r="EP95" s="119"/>
      <c r="EQ95" s="119"/>
      <c r="ER95" s="119"/>
      <c r="ES95" s="119">
        <f>ET95</f>
        <v>0</v>
      </c>
      <c r="ET95" s="119">
        <v>0</v>
      </c>
      <c r="EU95" s="119"/>
      <c r="EV95" s="119"/>
      <c r="EW95" s="119"/>
      <c r="EX95" s="119"/>
      <c r="EY95" s="119"/>
      <c r="EZ95" s="119"/>
      <c r="FA95" s="119"/>
      <c r="FB95" s="119"/>
      <c r="FC95" s="118">
        <f t="shared" si="239"/>
        <v>389500</v>
      </c>
      <c r="FD95" s="118">
        <v>389500</v>
      </c>
      <c r="FE95" s="118"/>
      <c r="FF95" s="118"/>
      <c r="FG95" s="118">
        <f>FH95+FJ95</f>
        <v>0</v>
      </c>
      <c r="FH95" s="118">
        <f>FP95-FD95</f>
        <v>0</v>
      </c>
      <c r="FI95" s="118"/>
      <c r="FJ95" s="118"/>
      <c r="FK95" s="118"/>
      <c r="FL95" s="118"/>
      <c r="FM95" s="118"/>
      <c r="FN95" s="118"/>
      <c r="FO95" s="118">
        <f t="shared" si="240"/>
        <v>389500</v>
      </c>
      <c r="FP95" s="118">
        <v>389500</v>
      </c>
      <c r="FQ95" s="118"/>
      <c r="FR95" s="118"/>
      <c r="FS95" s="74">
        <f t="shared" si="195"/>
        <v>0</v>
      </c>
      <c r="FT95" s="487">
        <f t="shared" si="81"/>
        <v>0</v>
      </c>
      <c r="FU95" s="74">
        <v>0</v>
      </c>
      <c r="FV95" s="487">
        <f t="shared" si="82"/>
        <v>0</v>
      </c>
      <c r="FW95" s="73"/>
      <c r="FX95" s="662"/>
      <c r="FY95" s="74"/>
      <c r="FZ95" s="662"/>
      <c r="GA95" s="74">
        <v>0</v>
      </c>
      <c r="GB95" s="487">
        <v>0</v>
      </c>
      <c r="GC95" s="74"/>
      <c r="GD95" s="487"/>
      <c r="GE95" s="73"/>
      <c r="GF95" s="513"/>
      <c r="GG95" s="73"/>
      <c r="GH95" s="513"/>
      <c r="GI95" s="74">
        <v>0</v>
      </c>
      <c r="GJ95" s="487"/>
      <c r="GK95" s="74"/>
      <c r="GL95" s="487"/>
      <c r="GM95" s="74"/>
      <c r="GN95" s="487"/>
      <c r="GO95" s="74"/>
      <c r="GP95" s="487"/>
      <c r="GQ95" s="119"/>
      <c r="GR95" s="119"/>
      <c r="GS95" s="119"/>
      <c r="GT95" s="119"/>
      <c r="GU95" s="119">
        <f>GV95</f>
        <v>656000</v>
      </c>
      <c r="GV95" s="119">
        <v>656000</v>
      </c>
      <c r="GW95" s="119"/>
      <c r="GX95" s="119"/>
      <c r="GY95" s="119"/>
      <c r="GZ95" s="119"/>
      <c r="HA95" s="119"/>
      <c r="HB95" s="119"/>
      <c r="HC95" s="119"/>
      <c r="HD95" s="119"/>
      <c r="HE95" s="119"/>
      <c r="HF95" s="119"/>
      <c r="HG95" s="119">
        <f>HH95+HJ95</f>
        <v>-310000</v>
      </c>
      <c r="HH95" s="119">
        <f>HP95-GV95</f>
        <v>-310000</v>
      </c>
      <c r="HI95" s="119"/>
      <c r="HJ95" s="119"/>
      <c r="HK95" s="119"/>
      <c r="HL95" s="119"/>
      <c r="HM95" s="119"/>
      <c r="HN95" s="119"/>
      <c r="HO95" s="119">
        <f>HP95</f>
        <v>346000</v>
      </c>
      <c r="HP95" s="119">
        <v>346000</v>
      </c>
      <c r="HQ95" s="119"/>
      <c r="HR95" s="119"/>
      <c r="HS95" s="119">
        <f>HT95</f>
        <v>0</v>
      </c>
      <c r="HT95" s="119">
        <v>0</v>
      </c>
      <c r="HU95" s="119"/>
      <c r="HV95" s="119"/>
      <c r="HW95" s="119">
        <f>HX95</f>
        <v>1000000</v>
      </c>
      <c r="HX95" s="119">
        <f>IB95-HT95</f>
        <v>1000000</v>
      </c>
      <c r="HY95" s="119"/>
      <c r="HZ95" s="119"/>
      <c r="IA95" s="119">
        <f>IB95</f>
        <v>1000000</v>
      </c>
      <c r="IB95" s="119">
        <v>1000000</v>
      </c>
      <c r="IC95" s="119"/>
      <c r="ID95" s="119"/>
      <c r="IE95" s="125"/>
      <c r="IF95" s="126"/>
      <c r="IG95" s="126"/>
      <c r="IH95" s="126"/>
    </row>
    <row r="96" spans="2:242" s="184" customFormat="1" ht="148.5" customHeight="1" x14ac:dyDescent="0.25">
      <c r="B96" s="100" t="s">
        <v>181</v>
      </c>
      <c r="C96" s="101" t="s">
        <v>185</v>
      </c>
      <c r="D96" s="179"/>
      <c r="E96" s="180"/>
      <c r="F96" s="180"/>
      <c r="G96" s="180"/>
      <c r="H96" s="180"/>
      <c r="I96" s="180"/>
      <c r="J96" s="180"/>
      <c r="K96" s="180"/>
      <c r="L96" s="180"/>
      <c r="M96" s="180"/>
      <c r="N96" s="180"/>
      <c r="O96" s="180"/>
      <c r="P96" s="180"/>
      <c r="Q96" s="181"/>
      <c r="R96" s="181"/>
      <c r="S96" s="181"/>
      <c r="T96" s="181"/>
      <c r="U96" s="181"/>
      <c r="V96" s="181"/>
      <c r="W96" s="181"/>
      <c r="X96" s="181"/>
      <c r="Y96" s="181"/>
      <c r="Z96" s="181"/>
      <c r="AA96" s="181"/>
      <c r="AB96" s="181"/>
      <c r="AC96" s="181"/>
      <c r="AD96" s="181"/>
      <c r="AE96" s="181"/>
      <c r="AF96" s="181"/>
      <c r="AG96" s="181"/>
      <c r="AH96" s="181"/>
      <c r="AI96" s="182"/>
      <c r="AJ96" s="181"/>
      <c r="AK96" s="182"/>
      <c r="AL96" s="182"/>
      <c r="AM96" s="483"/>
      <c r="AN96" s="480"/>
      <c r="AO96" s="109"/>
      <c r="AP96" s="480"/>
      <c r="AQ96" s="480"/>
      <c r="AR96" s="480"/>
      <c r="AS96" s="181"/>
      <c r="AT96" s="181"/>
      <c r="AU96" s="181"/>
      <c r="AV96" s="181"/>
      <c r="AW96" s="181"/>
      <c r="AX96" s="181"/>
      <c r="AY96" s="181"/>
      <c r="AZ96" s="181"/>
      <c r="BA96" s="181"/>
      <c r="BB96" s="181"/>
      <c r="BC96" s="181"/>
      <c r="BD96" s="181"/>
      <c r="BE96" s="181"/>
      <c r="BF96" s="181"/>
      <c r="BG96" s="181"/>
      <c r="BH96" s="181"/>
      <c r="BI96" s="181"/>
      <c r="BJ96" s="181"/>
      <c r="BK96" s="110"/>
      <c r="BL96" s="106"/>
      <c r="BM96" s="106"/>
      <c r="BN96" s="106"/>
      <c r="BO96" s="106"/>
      <c r="BP96" s="106"/>
      <c r="BQ96" s="106"/>
      <c r="BR96" s="106"/>
      <c r="BS96" s="106"/>
      <c r="BT96" s="106"/>
      <c r="BU96" s="106"/>
      <c r="BV96" s="181"/>
      <c r="BW96" s="181"/>
      <c r="BX96" s="181"/>
      <c r="BY96" s="181"/>
      <c r="BZ96" s="181"/>
      <c r="CA96" s="181"/>
      <c r="CB96" s="181"/>
      <c r="CC96" s="181"/>
      <c r="CD96" s="181"/>
      <c r="CE96" s="106"/>
      <c r="CF96" s="106"/>
      <c r="CG96" s="181"/>
      <c r="CH96" s="181"/>
      <c r="CI96" s="181"/>
      <c r="CJ96" s="181"/>
      <c r="CK96" s="181"/>
      <c r="CL96" s="181"/>
      <c r="CM96" s="181"/>
      <c r="CN96" s="181"/>
      <c r="CO96" s="181"/>
      <c r="CP96" s="181"/>
      <c r="CQ96" s="181"/>
      <c r="CR96" s="181"/>
      <c r="CS96" s="181"/>
      <c r="CT96" s="181"/>
      <c r="CU96" s="181"/>
      <c r="CV96" s="181"/>
      <c r="CW96" s="181"/>
      <c r="CX96" s="181"/>
      <c r="CY96" s="181"/>
      <c r="CZ96" s="181"/>
      <c r="DA96" s="181"/>
      <c r="DB96" s="181"/>
      <c r="DC96" s="181"/>
      <c r="DD96" s="181"/>
      <c r="DE96" s="181"/>
      <c r="DF96" s="181"/>
      <c r="DG96" s="181"/>
      <c r="DH96" s="181"/>
      <c r="DI96" s="181"/>
      <c r="DJ96" s="181"/>
      <c r="DK96" s="181"/>
      <c r="DL96" s="181"/>
      <c r="DM96" s="181"/>
      <c r="DN96" s="181"/>
      <c r="DO96" s="181"/>
      <c r="DP96" s="181"/>
      <c r="DQ96" s="181"/>
      <c r="DR96" s="181"/>
      <c r="DS96" s="181"/>
      <c r="DT96" s="181"/>
      <c r="DU96" s="105"/>
      <c r="DV96" s="181"/>
      <c r="DW96" s="181"/>
      <c r="DX96" s="181"/>
      <c r="DY96" s="181"/>
      <c r="DZ96" s="181"/>
      <c r="EA96" s="181"/>
      <c r="EB96" s="181"/>
      <c r="EC96" s="181"/>
      <c r="ED96" s="181"/>
      <c r="EE96" s="181"/>
      <c r="EF96" s="181"/>
      <c r="EG96" s="181"/>
      <c r="EH96" s="181"/>
      <c r="EI96" s="181"/>
      <c r="EJ96" s="181"/>
      <c r="EK96" s="181"/>
      <c r="EL96" s="181"/>
      <c r="EM96" s="181"/>
      <c r="EN96" s="181"/>
      <c r="EO96" s="181"/>
      <c r="EP96" s="181"/>
      <c r="EQ96" s="181"/>
      <c r="ER96" s="181"/>
      <c r="ES96" s="180"/>
      <c r="ET96" s="181"/>
      <c r="EU96" s="181"/>
      <c r="EV96" s="181"/>
      <c r="EW96" s="105"/>
      <c r="EX96" s="181"/>
      <c r="EY96" s="181"/>
      <c r="EZ96" s="181"/>
      <c r="FA96" s="181"/>
      <c r="FB96" s="181"/>
      <c r="FC96" s="180">
        <f t="shared" si="239"/>
        <v>123.29868999999999</v>
      </c>
      <c r="FD96" s="180">
        <f>FD97</f>
        <v>123.29868999999999</v>
      </c>
      <c r="FE96" s="180"/>
      <c r="FF96" s="180"/>
      <c r="FG96" s="180">
        <f>FH96</f>
        <v>0</v>
      </c>
      <c r="FH96" s="104">
        <f>FH97</f>
        <v>0</v>
      </c>
      <c r="FI96" s="180"/>
      <c r="FJ96" s="180"/>
      <c r="FK96" s="180"/>
      <c r="FL96" s="180"/>
      <c r="FM96" s="180"/>
      <c r="FN96" s="180"/>
      <c r="FO96" s="180">
        <f t="shared" si="240"/>
        <v>123.29868999999999</v>
      </c>
      <c r="FP96" s="180">
        <f>FP97</f>
        <v>123.29868999999999</v>
      </c>
      <c r="FQ96" s="180"/>
      <c r="FR96" s="180"/>
      <c r="FS96" s="629">
        <f>FU96</f>
        <v>130.97469000000001</v>
      </c>
      <c r="FT96" s="595">
        <f t="shared" si="81"/>
        <v>1.0622553248538165</v>
      </c>
      <c r="FU96" s="629">
        <f>FU97</f>
        <v>130.97469000000001</v>
      </c>
      <c r="FV96" s="595">
        <f t="shared" si="82"/>
        <v>1.0622553248538165</v>
      </c>
      <c r="FW96" s="522"/>
      <c r="FX96" s="666"/>
      <c r="FY96" s="629"/>
      <c r="FZ96" s="666"/>
      <c r="GA96" s="629">
        <f t="shared" si="83"/>
        <v>123.29868999999999</v>
      </c>
      <c r="GB96" s="595">
        <f t="shared" si="84"/>
        <v>1</v>
      </c>
      <c r="GC96" s="629">
        <f>GC97</f>
        <v>123.29868999999999</v>
      </c>
      <c r="GD96" s="595">
        <f t="shared" si="85"/>
        <v>1</v>
      </c>
      <c r="GE96" s="522"/>
      <c r="GF96" s="514"/>
      <c r="GG96" s="522"/>
      <c r="GH96" s="514"/>
      <c r="GI96" s="629">
        <f>GK96</f>
        <v>123.29868999999999</v>
      </c>
      <c r="GJ96" s="595">
        <f t="shared" si="86"/>
        <v>1</v>
      </c>
      <c r="GK96" s="629">
        <f>GK97</f>
        <v>123.29868999999999</v>
      </c>
      <c r="GL96" s="595">
        <f t="shared" si="87"/>
        <v>1</v>
      </c>
      <c r="GM96" s="629"/>
      <c r="GN96" s="595"/>
      <c r="GO96" s="629"/>
      <c r="GP96" s="595"/>
      <c r="GQ96" s="181"/>
      <c r="GR96" s="181"/>
      <c r="GS96" s="181"/>
      <c r="GT96" s="181"/>
      <c r="GU96" s="181"/>
      <c r="GV96" s="181"/>
      <c r="GW96" s="181"/>
      <c r="GX96" s="181"/>
      <c r="GY96" s="181"/>
      <c r="GZ96" s="181"/>
      <c r="HA96" s="181"/>
      <c r="HB96" s="181"/>
      <c r="HC96" s="181"/>
      <c r="HD96" s="181"/>
      <c r="HE96" s="181"/>
      <c r="HF96" s="181"/>
      <c r="HG96" s="181"/>
      <c r="HH96" s="181"/>
      <c r="HI96" s="181"/>
      <c r="HJ96" s="181"/>
      <c r="HK96" s="181"/>
      <c r="HL96" s="181"/>
      <c r="HM96" s="181"/>
      <c r="HN96" s="181"/>
      <c r="HO96" s="181"/>
      <c r="HP96" s="181"/>
      <c r="HQ96" s="181"/>
      <c r="HR96" s="181"/>
      <c r="HS96" s="181"/>
      <c r="HT96" s="181"/>
      <c r="HU96" s="181"/>
      <c r="HV96" s="181"/>
      <c r="HW96" s="181"/>
      <c r="HX96" s="181"/>
      <c r="HY96" s="181"/>
      <c r="HZ96" s="181"/>
      <c r="IA96" s="181"/>
      <c r="IB96" s="181"/>
      <c r="IC96" s="181"/>
      <c r="ID96" s="181"/>
      <c r="IE96" s="169"/>
      <c r="IF96" s="183"/>
      <c r="IG96" s="183"/>
      <c r="IH96" s="183"/>
    </row>
    <row r="97" spans="2:249" s="171" customFormat="1" ht="50.25" customHeight="1" x14ac:dyDescent="0.25">
      <c r="B97" s="186"/>
      <c r="C97" s="101" t="s">
        <v>131</v>
      </c>
      <c r="D97" s="162"/>
      <c r="E97" s="163"/>
      <c r="F97" s="163"/>
      <c r="G97" s="163"/>
      <c r="H97" s="163"/>
      <c r="I97" s="163"/>
      <c r="J97" s="163"/>
      <c r="K97" s="163"/>
      <c r="L97" s="163"/>
      <c r="M97" s="163"/>
      <c r="N97" s="163"/>
      <c r="O97" s="163"/>
      <c r="P97" s="163"/>
      <c r="Q97" s="164"/>
      <c r="R97" s="164"/>
      <c r="S97" s="164"/>
      <c r="T97" s="164"/>
      <c r="U97" s="164"/>
      <c r="V97" s="164"/>
      <c r="W97" s="164"/>
      <c r="X97" s="164"/>
      <c r="Y97" s="164"/>
      <c r="Z97" s="164"/>
      <c r="AA97" s="164"/>
      <c r="AB97" s="164"/>
      <c r="AC97" s="164"/>
      <c r="AD97" s="164"/>
      <c r="AE97" s="164"/>
      <c r="AF97" s="164"/>
      <c r="AG97" s="164"/>
      <c r="AH97" s="164"/>
      <c r="AI97" s="165"/>
      <c r="AJ97" s="164"/>
      <c r="AK97" s="165"/>
      <c r="AL97" s="165"/>
      <c r="AM97" s="482"/>
      <c r="AN97" s="174"/>
      <c r="AO97" s="166"/>
      <c r="AP97" s="174"/>
      <c r="AQ97" s="174"/>
      <c r="AR97" s="174"/>
      <c r="AS97" s="164"/>
      <c r="AT97" s="164"/>
      <c r="AU97" s="164"/>
      <c r="AV97" s="164"/>
      <c r="AW97" s="164"/>
      <c r="AX97" s="164"/>
      <c r="AY97" s="164"/>
      <c r="AZ97" s="164"/>
      <c r="BA97" s="164"/>
      <c r="BB97" s="164"/>
      <c r="BC97" s="164"/>
      <c r="BD97" s="164"/>
      <c r="BE97" s="164"/>
      <c r="BF97" s="164"/>
      <c r="BG97" s="164"/>
      <c r="BH97" s="164"/>
      <c r="BI97" s="164"/>
      <c r="BJ97" s="164"/>
      <c r="BK97" s="167"/>
      <c r="BL97" s="168"/>
      <c r="BM97" s="168"/>
      <c r="BN97" s="168"/>
      <c r="BO97" s="168"/>
      <c r="BP97" s="168"/>
      <c r="BQ97" s="168"/>
      <c r="BR97" s="168"/>
      <c r="BS97" s="168"/>
      <c r="BT97" s="168"/>
      <c r="BU97" s="168"/>
      <c r="BV97" s="164"/>
      <c r="BW97" s="164"/>
      <c r="BX97" s="164"/>
      <c r="BY97" s="164"/>
      <c r="BZ97" s="164"/>
      <c r="CA97" s="164"/>
      <c r="CB97" s="164"/>
      <c r="CC97" s="164"/>
      <c r="CD97" s="164"/>
      <c r="CE97" s="168"/>
      <c r="CF97" s="168"/>
      <c r="CG97" s="164"/>
      <c r="CH97" s="164"/>
      <c r="CI97" s="164"/>
      <c r="CJ97" s="164"/>
      <c r="CK97" s="164"/>
      <c r="CL97" s="164"/>
      <c r="CM97" s="164"/>
      <c r="CN97" s="164"/>
      <c r="CO97" s="164"/>
      <c r="CP97" s="164"/>
      <c r="CQ97" s="164"/>
      <c r="CR97" s="164"/>
      <c r="CS97" s="164"/>
      <c r="CT97" s="164"/>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4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4"/>
      <c r="ER97" s="164"/>
      <c r="ES97" s="163"/>
      <c r="ET97" s="164"/>
      <c r="EU97" s="164"/>
      <c r="EV97" s="164"/>
      <c r="EW97" s="144"/>
      <c r="EX97" s="164"/>
      <c r="EY97" s="164"/>
      <c r="EZ97" s="164"/>
      <c r="FA97" s="164"/>
      <c r="FB97" s="164"/>
      <c r="FC97" s="163">
        <f t="shared" si="239"/>
        <v>123.29868999999999</v>
      </c>
      <c r="FD97" s="163">
        <f>FD99</f>
        <v>123.29868999999999</v>
      </c>
      <c r="FE97" s="163"/>
      <c r="FF97" s="163"/>
      <c r="FG97" s="163">
        <f>FH97</f>
        <v>0</v>
      </c>
      <c r="FH97" s="163">
        <f>FH99</f>
        <v>0</v>
      </c>
      <c r="FI97" s="163"/>
      <c r="FJ97" s="163"/>
      <c r="FK97" s="163"/>
      <c r="FL97" s="163"/>
      <c r="FM97" s="163"/>
      <c r="FN97" s="163"/>
      <c r="FO97" s="163">
        <f t="shared" si="240"/>
        <v>123.29868999999999</v>
      </c>
      <c r="FP97" s="163">
        <f>FP99</f>
        <v>123.29868999999999</v>
      </c>
      <c r="FQ97" s="163"/>
      <c r="FR97" s="163"/>
      <c r="FS97" s="90">
        <f>FU97</f>
        <v>130.97469000000001</v>
      </c>
      <c r="FT97" s="518">
        <f t="shared" si="81"/>
        <v>1.0622553248538165</v>
      </c>
      <c r="FU97" s="90">
        <f>FU99</f>
        <v>130.97469000000001</v>
      </c>
      <c r="FV97" s="518">
        <f t="shared" si="82"/>
        <v>1.0622553248538165</v>
      </c>
      <c r="FW97" s="87"/>
      <c r="FX97" s="665"/>
      <c r="FY97" s="90"/>
      <c r="FZ97" s="665"/>
      <c r="GA97" s="90">
        <f t="shared" si="83"/>
        <v>123.29868999999999</v>
      </c>
      <c r="GB97" s="518">
        <f t="shared" si="84"/>
        <v>1</v>
      </c>
      <c r="GC97" s="90">
        <f>GC99</f>
        <v>123.29868999999999</v>
      </c>
      <c r="GD97" s="518">
        <f t="shared" si="85"/>
        <v>1</v>
      </c>
      <c r="GE97" s="87"/>
      <c r="GF97" s="515"/>
      <c r="GG97" s="87"/>
      <c r="GH97" s="515"/>
      <c r="GI97" s="90">
        <f>GK97</f>
        <v>123.29868999999999</v>
      </c>
      <c r="GJ97" s="518">
        <f t="shared" si="86"/>
        <v>1</v>
      </c>
      <c r="GK97" s="90">
        <f>GK99</f>
        <v>123.29868999999999</v>
      </c>
      <c r="GL97" s="518">
        <f t="shared" si="87"/>
        <v>1</v>
      </c>
      <c r="GM97" s="90"/>
      <c r="GN97" s="518"/>
      <c r="GO97" s="90"/>
      <c r="GP97" s="518"/>
      <c r="GQ97" s="164"/>
      <c r="GR97" s="164"/>
      <c r="GS97" s="164"/>
      <c r="GT97" s="164"/>
      <c r="GU97" s="164"/>
      <c r="GV97" s="164"/>
      <c r="GW97" s="164"/>
      <c r="GX97" s="164"/>
      <c r="GY97" s="164"/>
      <c r="GZ97" s="164"/>
      <c r="HA97" s="164"/>
      <c r="HB97" s="164"/>
      <c r="HC97" s="164"/>
      <c r="HD97" s="164"/>
      <c r="HE97" s="164"/>
      <c r="HF97" s="164"/>
      <c r="HG97" s="164"/>
      <c r="HH97" s="164"/>
      <c r="HI97" s="164"/>
      <c r="HJ97" s="164"/>
      <c r="HK97" s="164"/>
      <c r="HL97" s="164"/>
      <c r="HM97" s="164"/>
      <c r="HN97" s="164"/>
      <c r="HO97" s="164"/>
      <c r="HP97" s="164"/>
      <c r="HQ97" s="164"/>
      <c r="HR97" s="164"/>
      <c r="HS97" s="164"/>
      <c r="HT97" s="164"/>
      <c r="HU97" s="164"/>
      <c r="HV97" s="164"/>
      <c r="HW97" s="164"/>
      <c r="HX97" s="164"/>
      <c r="HY97" s="164"/>
      <c r="HZ97" s="164"/>
      <c r="IA97" s="164"/>
      <c r="IB97" s="164"/>
      <c r="IC97" s="164"/>
      <c r="ID97" s="164"/>
      <c r="IE97" s="185"/>
      <c r="IF97" s="170"/>
      <c r="IG97" s="170"/>
      <c r="IH97" s="170"/>
    </row>
    <row r="98" spans="2:249" s="171" customFormat="1" ht="15" hidden="1" customHeight="1" x14ac:dyDescent="0.25">
      <c r="B98" s="160"/>
      <c r="C98" s="161" t="s">
        <v>146</v>
      </c>
      <c r="D98" s="162"/>
      <c r="E98" s="163"/>
      <c r="F98" s="163"/>
      <c r="G98" s="163"/>
      <c r="H98" s="163"/>
      <c r="I98" s="163"/>
      <c r="J98" s="163"/>
      <c r="K98" s="163"/>
      <c r="L98" s="163"/>
      <c r="M98" s="163"/>
      <c r="N98" s="163"/>
      <c r="O98" s="163"/>
      <c r="P98" s="163"/>
      <c r="Q98" s="164"/>
      <c r="R98" s="164"/>
      <c r="S98" s="164"/>
      <c r="T98" s="164"/>
      <c r="U98" s="164"/>
      <c r="V98" s="164"/>
      <c r="W98" s="164"/>
      <c r="X98" s="164"/>
      <c r="Y98" s="164"/>
      <c r="Z98" s="164"/>
      <c r="AA98" s="164"/>
      <c r="AB98" s="164"/>
      <c r="AC98" s="164"/>
      <c r="AD98" s="164"/>
      <c r="AE98" s="164"/>
      <c r="AF98" s="164"/>
      <c r="AG98" s="164"/>
      <c r="AH98" s="164"/>
      <c r="AI98" s="165"/>
      <c r="AJ98" s="164"/>
      <c r="AK98" s="165"/>
      <c r="AL98" s="165"/>
      <c r="AM98" s="482"/>
      <c r="AN98" s="174"/>
      <c r="AO98" s="166"/>
      <c r="AP98" s="174"/>
      <c r="AQ98" s="174"/>
      <c r="AR98" s="174"/>
      <c r="AS98" s="164"/>
      <c r="AT98" s="164"/>
      <c r="AU98" s="164"/>
      <c r="AV98" s="164"/>
      <c r="AW98" s="164"/>
      <c r="AX98" s="164"/>
      <c r="AY98" s="164"/>
      <c r="AZ98" s="164"/>
      <c r="BA98" s="164"/>
      <c r="BB98" s="164"/>
      <c r="BC98" s="164"/>
      <c r="BD98" s="164"/>
      <c r="BE98" s="164"/>
      <c r="BF98" s="164"/>
      <c r="BG98" s="164"/>
      <c r="BH98" s="164"/>
      <c r="BI98" s="164"/>
      <c r="BJ98" s="164"/>
      <c r="BK98" s="167"/>
      <c r="BL98" s="168"/>
      <c r="BM98" s="168"/>
      <c r="BN98" s="168"/>
      <c r="BO98" s="168"/>
      <c r="BP98" s="168"/>
      <c r="BQ98" s="168"/>
      <c r="BR98" s="168"/>
      <c r="BS98" s="168"/>
      <c r="BT98" s="168"/>
      <c r="BU98" s="168"/>
      <c r="BV98" s="164"/>
      <c r="BW98" s="164"/>
      <c r="BX98" s="164"/>
      <c r="BY98" s="164"/>
      <c r="BZ98" s="164"/>
      <c r="CA98" s="164"/>
      <c r="CB98" s="164"/>
      <c r="CC98" s="164"/>
      <c r="CD98" s="164"/>
      <c r="CE98" s="168"/>
      <c r="CF98" s="168"/>
      <c r="CG98" s="164"/>
      <c r="CH98" s="164"/>
      <c r="CI98" s="164"/>
      <c r="CJ98" s="164"/>
      <c r="CK98" s="164"/>
      <c r="CL98" s="164"/>
      <c r="CM98" s="164"/>
      <c r="CN98" s="164"/>
      <c r="CO98" s="164"/>
      <c r="CP98" s="164"/>
      <c r="CQ98" s="164"/>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3"/>
      <c r="ET98" s="164"/>
      <c r="EU98" s="164"/>
      <c r="EV98" s="164"/>
      <c r="EW98" s="164"/>
      <c r="EX98" s="164"/>
      <c r="EY98" s="164"/>
      <c r="EZ98" s="164"/>
      <c r="FA98" s="164"/>
      <c r="FB98" s="164"/>
      <c r="FC98" s="163"/>
      <c r="FD98" s="163"/>
      <c r="FE98" s="163"/>
      <c r="FF98" s="163"/>
      <c r="FG98" s="163"/>
      <c r="FH98" s="163"/>
      <c r="FI98" s="163"/>
      <c r="FJ98" s="163"/>
      <c r="FK98" s="163"/>
      <c r="FL98" s="163"/>
      <c r="FM98" s="163"/>
      <c r="FN98" s="163"/>
      <c r="FO98" s="163"/>
      <c r="FP98" s="163"/>
      <c r="FQ98" s="163"/>
      <c r="FR98" s="163"/>
      <c r="FS98" s="90">
        <f t="shared" si="195"/>
        <v>0</v>
      </c>
      <c r="FT98" s="518" t="e">
        <f t="shared" ref="FT98:FT167" si="241">FS98/FC98</f>
        <v>#DIV/0!</v>
      </c>
      <c r="FU98" s="90">
        <v>0</v>
      </c>
      <c r="FV98" s="518" t="e">
        <f t="shared" ref="FV98:FV165" si="242">FU98/FD98</f>
        <v>#DIV/0!</v>
      </c>
      <c r="FW98" s="87"/>
      <c r="FX98" s="665"/>
      <c r="FY98" s="90"/>
      <c r="FZ98" s="665"/>
      <c r="GA98" s="90"/>
      <c r="GB98" s="518"/>
      <c r="GC98" s="90"/>
      <c r="GD98" s="518"/>
      <c r="GE98" s="87"/>
      <c r="GF98" s="515"/>
      <c r="GG98" s="87"/>
      <c r="GH98" s="515"/>
      <c r="GI98" s="90" t="e">
        <f t="shared" ref="GI98:GI167" si="243">GK98+GM98+GO98</f>
        <v>#REF!</v>
      </c>
      <c r="GJ98" s="518" t="e">
        <f t="shared" ref="GJ98:GJ167" si="244">GI98/FC98</f>
        <v>#REF!</v>
      </c>
      <c r="GK98" s="90" t="e">
        <f>#REF!+GK401</f>
        <v>#REF!</v>
      </c>
      <c r="GL98" s="518" t="e">
        <f t="shared" ref="GL98:GL165" si="245">GK98/FD98</f>
        <v>#REF!</v>
      </c>
      <c r="GM98" s="90"/>
      <c r="GN98" s="518"/>
      <c r="GO98" s="90"/>
      <c r="GP98" s="518"/>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c r="HX98" s="164"/>
      <c r="HY98" s="164"/>
      <c r="HZ98" s="164"/>
      <c r="IA98" s="164"/>
      <c r="IB98" s="164"/>
      <c r="IC98" s="164"/>
      <c r="ID98" s="164"/>
      <c r="IE98" s="185"/>
      <c r="IF98" s="170"/>
      <c r="IG98" s="170"/>
      <c r="IH98" s="170"/>
    </row>
    <row r="99" spans="2:249" s="171" customFormat="1" ht="36.75" hidden="1" customHeight="1" x14ac:dyDescent="0.25">
      <c r="B99" s="160"/>
      <c r="C99" s="161" t="s">
        <v>148</v>
      </c>
      <c r="D99" s="162"/>
      <c r="E99" s="163"/>
      <c r="F99" s="163"/>
      <c r="G99" s="163"/>
      <c r="H99" s="163"/>
      <c r="I99" s="163"/>
      <c r="J99" s="163"/>
      <c r="K99" s="163"/>
      <c r="L99" s="163"/>
      <c r="M99" s="163"/>
      <c r="N99" s="163"/>
      <c r="O99" s="163"/>
      <c r="P99" s="163"/>
      <c r="Q99" s="164"/>
      <c r="R99" s="164"/>
      <c r="S99" s="164"/>
      <c r="T99" s="164"/>
      <c r="U99" s="164"/>
      <c r="V99" s="164"/>
      <c r="W99" s="164"/>
      <c r="X99" s="164"/>
      <c r="Y99" s="164"/>
      <c r="Z99" s="164"/>
      <c r="AA99" s="164"/>
      <c r="AB99" s="164"/>
      <c r="AC99" s="164"/>
      <c r="AD99" s="164"/>
      <c r="AE99" s="164"/>
      <c r="AF99" s="164"/>
      <c r="AG99" s="164"/>
      <c r="AH99" s="164"/>
      <c r="AI99" s="165"/>
      <c r="AJ99" s="164"/>
      <c r="AK99" s="165"/>
      <c r="AL99" s="165"/>
      <c r="AM99" s="482"/>
      <c r="AN99" s="174"/>
      <c r="AO99" s="166"/>
      <c r="AP99" s="174"/>
      <c r="AQ99" s="174"/>
      <c r="AR99" s="174"/>
      <c r="AS99" s="164"/>
      <c r="AT99" s="164"/>
      <c r="AU99" s="164"/>
      <c r="AV99" s="164"/>
      <c r="AW99" s="164"/>
      <c r="AX99" s="164"/>
      <c r="AY99" s="164"/>
      <c r="AZ99" s="164"/>
      <c r="BA99" s="164"/>
      <c r="BB99" s="164"/>
      <c r="BC99" s="164"/>
      <c r="BD99" s="164"/>
      <c r="BE99" s="164"/>
      <c r="BF99" s="164"/>
      <c r="BG99" s="164"/>
      <c r="BH99" s="164"/>
      <c r="BI99" s="164"/>
      <c r="BJ99" s="164"/>
      <c r="BK99" s="167"/>
      <c r="BL99" s="168"/>
      <c r="BM99" s="168"/>
      <c r="BN99" s="168"/>
      <c r="BO99" s="168"/>
      <c r="BP99" s="168"/>
      <c r="BQ99" s="168"/>
      <c r="BR99" s="168"/>
      <c r="BS99" s="168"/>
      <c r="BT99" s="168"/>
      <c r="BU99" s="168"/>
      <c r="BV99" s="164"/>
      <c r="BW99" s="164"/>
      <c r="BX99" s="164"/>
      <c r="BY99" s="164"/>
      <c r="BZ99" s="164"/>
      <c r="CA99" s="164"/>
      <c r="CB99" s="164"/>
      <c r="CC99" s="164"/>
      <c r="CD99" s="164"/>
      <c r="CE99" s="168"/>
      <c r="CF99" s="168"/>
      <c r="CG99" s="164"/>
      <c r="CH99" s="164"/>
      <c r="CI99" s="164"/>
      <c r="CJ99" s="164"/>
      <c r="CK99" s="164"/>
      <c r="CL99" s="164"/>
      <c r="CM99" s="164"/>
      <c r="CN99" s="164"/>
      <c r="CO99" s="164"/>
      <c r="CP99" s="164"/>
      <c r="CQ99" s="164"/>
      <c r="CR99" s="164"/>
      <c r="CS99" s="164"/>
      <c r="CT99" s="164"/>
      <c r="CU99" s="164"/>
      <c r="CV99" s="164"/>
      <c r="CW99" s="164"/>
      <c r="CX99" s="164"/>
      <c r="CY99" s="164"/>
      <c r="CZ99" s="164"/>
      <c r="DA99" s="164"/>
      <c r="DB99" s="164"/>
      <c r="DC99" s="164"/>
      <c r="DD99" s="164"/>
      <c r="DE99" s="164"/>
      <c r="DF99" s="164"/>
      <c r="DG99" s="164"/>
      <c r="DH99" s="164"/>
      <c r="DI99" s="164"/>
      <c r="DJ99" s="164"/>
      <c r="DK99" s="164"/>
      <c r="DL99" s="164"/>
      <c r="DM99" s="164"/>
      <c r="DN99" s="164"/>
      <c r="DO99" s="164"/>
      <c r="DP99" s="164"/>
      <c r="DQ99" s="164"/>
      <c r="DR99" s="164"/>
      <c r="DS99" s="164"/>
      <c r="DT99" s="164"/>
      <c r="DU99" s="164"/>
      <c r="DV99" s="164"/>
      <c r="DW99" s="164"/>
      <c r="DX99" s="164"/>
      <c r="DY99" s="164"/>
      <c r="DZ99" s="164"/>
      <c r="EA99" s="164"/>
      <c r="EB99" s="164"/>
      <c r="EC99" s="164"/>
      <c r="ED99" s="164"/>
      <c r="EE99" s="164"/>
      <c r="EF99" s="164"/>
      <c r="EG99" s="164"/>
      <c r="EH99" s="164"/>
      <c r="EI99" s="164"/>
      <c r="EJ99" s="164"/>
      <c r="EK99" s="164"/>
      <c r="EL99" s="164"/>
      <c r="EM99" s="164"/>
      <c r="EN99" s="164"/>
      <c r="EO99" s="164"/>
      <c r="EP99" s="164"/>
      <c r="EQ99" s="164"/>
      <c r="ER99" s="164"/>
      <c r="ES99" s="163"/>
      <c r="ET99" s="164"/>
      <c r="EU99" s="164"/>
      <c r="EV99" s="164"/>
      <c r="EW99" s="164"/>
      <c r="EX99" s="164"/>
      <c r="EY99" s="164"/>
      <c r="EZ99" s="164"/>
      <c r="FA99" s="164"/>
      <c r="FB99" s="164"/>
      <c r="FC99" s="163">
        <f t="shared" ref="FC99:FC107" si="246">FD99</f>
        <v>123.29868999999999</v>
      </c>
      <c r="FD99" s="163">
        <v>123.29868999999999</v>
      </c>
      <c r="FE99" s="163"/>
      <c r="FF99" s="163"/>
      <c r="FG99" s="163">
        <f>FH99</f>
        <v>0</v>
      </c>
      <c r="FH99" s="163">
        <f>FP99-FD99</f>
        <v>0</v>
      </c>
      <c r="FI99" s="163"/>
      <c r="FJ99" s="163"/>
      <c r="FK99" s="163"/>
      <c r="FL99" s="163"/>
      <c r="FM99" s="163"/>
      <c r="FN99" s="163"/>
      <c r="FO99" s="163">
        <f>FP99</f>
        <v>123.29868999999999</v>
      </c>
      <c r="FP99" s="163">
        <v>123.29868999999999</v>
      </c>
      <c r="FQ99" s="163"/>
      <c r="FR99" s="163"/>
      <c r="FS99" s="90">
        <f>FU99</f>
        <v>130.97469000000001</v>
      </c>
      <c r="FT99" s="518">
        <f t="shared" si="241"/>
        <v>1.0622553248538165</v>
      </c>
      <c r="FU99" s="90">
        <v>130.97469000000001</v>
      </c>
      <c r="FV99" s="518">
        <f t="shared" si="242"/>
        <v>1.0622553248538165</v>
      </c>
      <c r="FW99" s="87"/>
      <c r="FX99" s="665"/>
      <c r="FY99" s="90"/>
      <c r="FZ99" s="665"/>
      <c r="GA99" s="90">
        <f t="shared" ref="GA99:GA167" si="247">GC99+GE99+GG99</f>
        <v>123.29868999999999</v>
      </c>
      <c r="GB99" s="518">
        <f t="shared" ref="GB99:GB167" si="248">GA99/FC99</f>
        <v>1</v>
      </c>
      <c r="GC99" s="90">
        <v>123.29868999999999</v>
      </c>
      <c r="GD99" s="518">
        <f t="shared" ref="GD99:GD136" si="249">GC99/FD99</f>
        <v>1</v>
      </c>
      <c r="GE99" s="87"/>
      <c r="GF99" s="515"/>
      <c r="GG99" s="87"/>
      <c r="GH99" s="515"/>
      <c r="GI99" s="90">
        <f t="shared" ref="GI99:GI105" si="250">GK99</f>
        <v>123.29868999999999</v>
      </c>
      <c r="GJ99" s="518">
        <f t="shared" si="244"/>
        <v>1</v>
      </c>
      <c r="GK99" s="90">
        <v>123.29868999999999</v>
      </c>
      <c r="GL99" s="518">
        <f t="shared" si="245"/>
        <v>1</v>
      </c>
      <c r="GM99" s="90"/>
      <c r="GN99" s="518"/>
      <c r="GO99" s="90"/>
      <c r="GP99" s="518"/>
      <c r="GQ99" s="164"/>
      <c r="GR99" s="164"/>
      <c r="GS99" s="164"/>
      <c r="GT99" s="164"/>
      <c r="GU99" s="164"/>
      <c r="GV99" s="164"/>
      <c r="GW99" s="164"/>
      <c r="GX99" s="164"/>
      <c r="GY99" s="164"/>
      <c r="GZ99" s="164"/>
      <c r="HA99" s="164"/>
      <c r="HB99" s="164"/>
      <c r="HC99" s="164"/>
      <c r="HD99" s="164"/>
      <c r="HE99" s="164"/>
      <c r="HF99" s="164"/>
      <c r="HG99" s="164"/>
      <c r="HH99" s="164"/>
      <c r="HI99" s="164"/>
      <c r="HJ99" s="164"/>
      <c r="HK99" s="164"/>
      <c r="HL99" s="164"/>
      <c r="HM99" s="164"/>
      <c r="HN99" s="164"/>
      <c r="HO99" s="164"/>
      <c r="HP99" s="164"/>
      <c r="HQ99" s="164"/>
      <c r="HR99" s="164"/>
      <c r="HS99" s="164"/>
      <c r="HT99" s="164"/>
      <c r="HU99" s="164"/>
      <c r="HV99" s="164"/>
      <c r="HW99" s="164"/>
      <c r="HX99" s="164"/>
      <c r="HY99" s="164"/>
      <c r="HZ99" s="164"/>
      <c r="IA99" s="164"/>
      <c r="IB99" s="164"/>
      <c r="IC99" s="164"/>
      <c r="ID99" s="164"/>
      <c r="IE99" s="185"/>
      <c r="IF99" s="170"/>
      <c r="IG99" s="170"/>
      <c r="IH99" s="170"/>
    </row>
    <row r="100" spans="2:249" s="171" customFormat="1" ht="145.5" customHeight="1" x14ac:dyDescent="0.25">
      <c r="B100" s="100" t="s">
        <v>184</v>
      </c>
      <c r="C100" s="101" t="s">
        <v>501</v>
      </c>
      <c r="D100" s="162"/>
      <c r="E100" s="163"/>
      <c r="F100" s="163"/>
      <c r="G100" s="163"/>
      <c r="H100" s="163"/>
      <c r="I100" s="163"/>
      <c r="J100" s="163"/>
      <c r="K100" s="163"/>
      <c r="L100" s="163"/>
      <c r="M100" s="163"/>
      <c r="N100" s="163"/>
      <c r="O100" s="163"/>
      <c r="P100" s="163"/>
      <c r="Q100" s="164"/>
      <c r="R100" s="164"/>
      <c r="S100" s="164"/>
      <c r="T100" s="164"/>
      <c r="U100" s="164"/>
      <c r="V100" s="164"/>
      <c r="W100" s="164"/>
      <c r="X100" s="164"/>
      <c r="Y100" s="164"/>
      <c r="Z100" s="164"/>
      <c r="AA100" s="164"/>
      <c r="AB100" s="164"/>
      <c r="AC100" s="164"/>
      <c r="AD100" s="164"/>
      <c r="AE100" s="164"/>
      <c r="AF100" s="164"/>
      <c r="AG100" s="164"/>
      <c r="AH100" s="164"/>
      <c r="AI100" s="165"/>
      <c r="AJ100" s="164"/>
      <c r="AK100" s="165"/>
      <c r="AL100" s="165"/>
      <c r="AM100" s="639"/>
      <c r="AN100" s="174"/>
      <c r="AO100" s="166"/>
      <c r="AP100" s="174"/>
      <c r="AQ100" s="174"/>
      <c r="AR100" s="174"/>
      <c r="AS100" s="164"/>
      <c r="AT100" s="164"/>
      <c r="AU100" s="164"/>
      <c r="AV100" s="164"/>
      <c r="AW100" s="164"/>
      <c r="AX100" s="164"/>
      <c r="AY100" s="164"/>
      <c r="AZ100" s="164"/>
      <c r="BA100" s="164"/>
      <c r="BB100" s="164"/>
      <c r="BC100" s="164"/>
      <c r="BD100" s="164"/>
      <c r="BE100" s="164"/>
      <c r="BF100" s="164"/>
      <c r="BG100" s="164"/>
      <c r="BH100" s="164"/>
      <c r="BI100" s="164"/>
      <c r="BJ100" s="164"/>
      <c r="BK100" s="167"/>
      <c r="BL100" s="168"/>
      <c r="BM100" s="168"/>
      <c r="BN100" s="168"/>
      <c r="BO100" s="168"/>
      <c r="BP100" s="168"/>
      <c r="BQ100" s="168"/>
      <c r="BR100" s="168"/>
      <c r="BS100" s="168"/>
      <c r="BT100" s="168"/>
      <c r="BU100" s="168"/>
      <c r="BV100" s="164"/>
      <c r="BW100" s="164"/>
      <c r="BX100" s="164"/>
      <c r="BY100" s="164"/>
      <c r="BZ100" s="164"/>
      <c r="CA100" s="164"/>
      <c r="CB100" s="164"/>
      <c r="CC100" s="164"/>
      <c r="CD100" s="164"/>
      <c r="CE100" s="168"/>
      <c r="CF100" s="168"/>
      <c r="CG100" s="164"/>
      <c r="CH100" s="164"/>
      <c r="CI100" s="164"/>
      <c r="CJ100" s="164"/>
      <c r="CK100" s="164"/>
      <c r="CL100" s="164"/>
      <c r="CM100" s="164"/>
      <c r="CN100" s="164"/>
      <c r="CO100" s="164"/>
      <c r="CP100" s="164"/>
      <c r="CQ100" s="164"/>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3"/>
      <c r="ET100" s="164"/>
      <c r="EU100" s="164"/>
      <c r="EV100" s="164"/>
      <c r="EW100" s="164"/>
      <c r="EX100" s="164"/>
      <c r="EY100" s="164"/>
      <c r="EZ100" s="164"/>
      <c r="FA100" s="164"/>
      <c r="FB100" s="164"/>
      <c r="FC100" s="180">
        <f t="shared" si="246"/>
        <v>46500</v>
      </c>
      <c r="FD100" s="180">
        <f>FD101</f>
        <v>46500</v>
      </c>
      <c r="FE100" s="163"/>
      <c r="FF100" s="163"/>
      <c r="FG100" s="163"/>
      <c r="FH100" s="163"/>
      <c r="FI100" s="163"/>
      <c r="FJ100" s="163"/>
      <c r="FK100" s="163"/>
      <c r="FL100" s="163"/>
      <c r="FM100" s="163"/>
      <c r="FN100" s="163"/>
      <c r="FO100" s="163"/>
      <c r="FP100" s="163"/>
      <c r="FQ100" s="163"/>
      <c r="FR100" s="163"/>
      <c r="FS100" s="629">
        <f>FS101</f>
        <v>7500</v>
      </c>
      <c r="FT100" s="595">
        <f t="shared" si="241"/>
        <v>0.16129032258064516</v>
      </c>
      <c r="FU100" s="629">
        <f>FU101</f>
        <v>7500</v>
      </c>
      <c r="FV100" s="595">
        <f t="shared" si="242"/>
        <v>0.16129032258064516</v>
      </c>
      <c r="FW100" s="87"/>
      <c r="FX100" s="665"/>
      <c r="FY100" s="629"/>
      <c r="FZ100" s="665"/>
      <c r="GA100" s="629">
        <f>GC100</f>
        <v>7500</v>
      </c>
      <c r="GB100" s="595">
        <f t="shared" si="248"/>
        <v>0.16129032258064516</v>
      </c>
      <c r="GC100" s="629">
        <f>GC101</f>
        <v>7500</v>
      </c>
      <c r="GD100" s="595">
        <f t="shared" si="249"/>
        <v>0.16129032258064516</v>
      </c>
      <c r="GE100" s="87"/>
      <c r="GF100" s="515"/>
      <c r="GG100" s="87"/>
      <c r="GH100" s="515"/>
      <c r="GI100" s="629">
        <f t="shared" si="250"/>
        <v>45190.81321</v>
      </c>
      <c r="GJ100" s="595">
        <f t="shared" si="244"/>
        <v>0.9718454453763441</v>
      </c>
      <c r="GK100" s="629">
        <f>GK101</f>
        <v>45190.81321</v>
      </c>
      <c r="GL100" s="595">
        <f t="shared" si="245"/>
        <v>0.9718454453763441</v>
      </c>
      <c r="GM100" s="90"/>
      <c r="GN100" s="518"/>
      <c r="GO100" s="90"/>
      <c r="GP100" s="518"/>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c r="HX100" s="164"/>
      <c r="HY100" s="164"/>
      <c r="HZ100" s="164"/>
      <c r="IA100" s="164"/>
      <c r="IB100" s="164"/>
      <c r="IC100" s="164"/>
      <c r="ID100" s="164"/>
      <c r="IE100" s="185"/>
      <c r="IF100" s="170"/>
      <c r="IG100" s="170"/>
      <c r="IH100" s="170"/>
    </row>
    <row r="101" spans="2:249" s="184" customFormat="1" ht="36.75" customHeight="1" x14ac:dyDescent="0.25">
      <c r="B101" s="178"/>
      <c r="C101" s="101" t="s">
        <v>131</v>
      </c>
      <c r="D101" s="179"/>
      <c r="E101" s="180"/>
      <c r="F101" s="180"/>
      <c r="G101" s="180"/>
      <c r="H101" s="180"/>
      <c r="I101" s="180"/>
      <c r="J101" s="180"/>
      <c r="K101" s="180"/>
      <c r="L101" s="180"/>
      <c r="M101" s="180"/>
      <c r="N101" s="180"/>
      <c r="O101" s="180"/>
      <c r="P101" s="180"/>
      <c r="Q101" s="181"/>
      <c r="R101" s="181"/>
      <c r="S101" s="181"/>
      <c r="T101" s="181"/>
      <c r="U101" s="181"/>
      <c r="V101" s="181"/>
      <c r="W101" s="181"/>
      <c r="X101" s="181"/>
      <c r="Y101" s="181"/>
      <c r="Z101" s="181"/>
      <c r="AA101" s="181"/>
      <c r="AB101" s="181"/>
      <c r="AC101" s="181"/>
      <c r="AD101" s="181"/>
      <c r="AE101" s="181"/>
      <c r="AF101" s="181"/>
      <c r="AG101" s="181"/>
      <c r="AH101" s="181"/>
      <c r="AI101" s="182"/>
      <c r="AJ101" s="181"/>
      <c r="AK101" s="182"/>
      <c r="AL101" s="182"/>
      <c r="AM101" s="637"/>
      <c r="AN101" s="638"/>
      <c r="AO101" s="109"/>
      <c r="AP101" s="638"/>
      <c r="AQ101" s="638"/>
      <c r="AR101" s="638"/>
      <c r="AS101" s="181"/>
      <c r="AT101" s="181"/>
      <c r="AU101" s="181"/>
      <c r="AV101" s="181"/>
      <c r="AW101" s="181"/>
      <c r="AX101" s="181"/>
      <c r="AY101" s="181"/>
      <c r="AZ101" s="181"/>
      <c r="BA101" s="181"/>
      <c r="BB101" s="181"/>
      <c r="BC101" s="181"/>
      <c r="BD101" s="181"/>
      <c r="BE101" s="181"/>
      <c r="BF101" s="181"/>
      <c r="BG101" s="181"/>
      <c r="BH101" s="181"/>
      <c r="BI101" s="181"/>
      <c r="BJ101" s="181"/>
      <c r="BK101" s="110"/>
      <c r="BL101" s="106"/>
      <c r="BM101" s="106"/>
      <c r="BN101" s="106"/>
      <c r="BO101" s="106"/>
      <c r="BP101" s="106"/>
      <c r="BQ101" s="106"/>
      <c r="BR101" s="106"/>
      <c r="BS101" s="106"/>
      <c r="BT101" s="106"/>
      <c r="BU101" s="106"/>
      <c r="BV101" s="181"/>
      <c r="BW101" s="181"/>
      <c r="BX101" s="181"/>
      <c r="BY101" s="181"/>
      <c r="BZ101" s="181"/>
      <c r="CA101" s="181"/>
      <c r="CB101" s="181"/>
      <c r="CC101" s="181"/>
      <c r="CD101" s="181"/>
      <c r="CE101" s="106"/>
      <c r="CF101" s="106"/>
      <c r="CG101" s="181"/>
      <c r="CH101" s="181"/>
      <c r="CI101" s="181"/>
      <c r="CJ101" s="181"/>
      <c r="CK101" s="181"/>
      <c r="CL101" s="181"/>
      <c r="CM101" s="181"/>
      <c r="CN101" s="181"/>
      <c r="CO101" s="181"/>
      <c r="CP101" s="181"/>
      <c r="CQ101" s="181"/>
      <c r="CR101" s="181"/>
      <c r="CS101" s="181"/>
      <c r="CT101" s="181"/>
      <c r="CU101" s="181"/>
      <c r="CV101" s="181"/>
      <c r="CW101" s="181"/>
      <c r="CX101" s="181"/>
      <c r="CY101" s="181"/>
      <c r="CZ101" s="181"/>
      <c r="DA101" s="181"/>
      <c r="DB101" s="181"/>
      <c r="DC101" s="181"/>
      <c r="DD101" s="181"/>
      <c r="DE101" s="181"/>
      <c r="DF101" s="181"/>
      <c r="DG101" s="181"/>
      <c r="DH101" s="181"/>
      <c r="DI101" s="181"/>
      <c r="DJ101" s="181"/>
      <c r="DK101" s="181"/>
      <c r="DL101" s="181"/>
      <c r="DM101" s="181"/>
      <c r="DN101" s="181"/>
      <c r="DO101" s="181"/>
      <c r="DP101" s="181"/>
      <c r="DQ101" s="181"/>
      <c r="DR101" s="181"/>
      <c r="DS101" s="181"/>
      <c r="DT101" s="181"/>
      <c r="DU101" s="181"/>
      <c r="DV101" s="181"/>
      <c r="DW101" s="181"/>
      <c r="DX101" s="181"/>
      <c r="DY101" s="181"/>
      <c r="DZ101" s="181"/>
      <c r="EA101" s="181"/>
      <c r="EB101" s="181"/>
      <c r="EC101" s="181"/>
      <c r="ED101" s="181"/>
      <c r="EE101" s="181"/>
      <c r="EF101" s="181"/>
      <c r="EG101" s="181"/>
      <c r="EH101" s="181"/>
      <c r="EI101" s="181"/>
      <c r="EJ101" s="181"/>
      <c r="EK101" s="181"/>
      <c r="EL101" s="181"/>
      <c r="EM101" s="181"/>
      <c r="EN101" s="181"/>
      <c r="EO101" s="181"/>
      <c r="EP101" s="181"/>
      <c r="EQ101" s="181"/>
      <c r="ER101" s="181"/>
      <c r="ES101" s="180"/>
      <c r="ET101" s="181"/>
      <c r="EU101" s="181"/>
      <c r="EV101" s="181"/>
      <c r="EW101" s="181"/>
      <c r="EX101" s="181"/>
      <c r="EY101" s="181"/>
      <c r="EZ101" s="181"/>
      <c r="FA101" s="181"/>
      <c r="FB101" s="181"/>
      <c r="FC101" s="180">
        <f t="shared" si="246"/>
        <v>46500</v>
      </c>
      <c r="FD101" s="180">
        <f>FD102+FD103</f>
        <v>46500</v>
      </c>
      <c r="FE101" s="180"/>
      <c r="FF101" s="180"/>
      <c r="FG101" s="180"/>
      <c r="FH101" s="180"/>
      <c r="FI101" s="180"/>
      <c r="FJ101" s="180"/>
      <c r="FK101" s="180"/>
      <c r="FL101" s="180"/>
      <c r="FM101" s="180"/>
      <c r="FN101" s="180"/>
      <c r="FO101" s="180"/>
      <c r="FP101" s="180"/>
      <c r="FQ101" s="180"/>
      <c r="FR101" s="180"/>
      <c r="FS101" s="629">
        <f t="shared" ref="FS101:FS103" si="251">FU101</f>
        <v>7500</v>
      </c>
      <c r="FT101" s="595">
        <f t="shared" ref="FT101:FT103" si="252">FS101/FC101</f>
        <v>0.16129032258064516</v>
      </c>
      <c r="FU101" s="629">
        <f>FU102+FU103</f>
        <v>7500</v>
      </c>
      <c r="FV101" s="595">
        <f t="shared" ref="FV101:FV103" si="253">FU101/FD101</f>
        <v>0.16129032258064516</v>
      </c>
      <c r="FW101" s="522"/>
      <c r="FX101" s="666"/>
      <c r="FY101" s="629"/>
      <c r="FZ101" s="666"/>
      <c r="GA101" s="629">
        <f>GC101</f>
        <v>7500</v>
      </c>
      <c r="GB101" s="595">
        <f t="shared" si="248"/>
        <v>0.16129032258064516</v>
      </c>
      <c r="GC101" s="629">
        <f>GC102+GC103</f>
        <v>7500</v>
      </c>
      <c r="GD101" s="595">
        <f t="shared" si="249"/>
        <v>0.16129032258064516</v>
      </c>
      <c r="GE101" s="522"/>
      <c r="GF101" s="514"/>
      <c r="GG101" s="522"/>
      <c r="GH101" s="514"/>
      <c r="GI101" s="629">
        <f t="shared" si="250"/>
        <v>45190.81321</v>
      </c>
      <c r="GJ101" s="518">
        <f t="shared" si="244"/>
        <v>0.9718454453763441</v>
      </c>
      <c r="GK101" s="629">
        <f>GK102+GK103</f>
        <v>45190.81321</v>
      </c>
      <c r="GL101" s="518">
        <f t="shared" si="245"/>
        <v>0.9718454453763441</v>
      </c>
      <c r="GM101" s="629"/>
      <c r="GN101" s="595"/>
      <c r="GO101" s="629"/>
      <c r="GP101" s="595"/>
      <c r="GQ101" s="181"/>
      <c r="GR101" s="181"/>
      <c r="GS101" s="181"/>
      <c r="GT101" s="181"/>
      <c r="GU101" s="181"/>
      <c r="GV101" s="181"/>
      <c r="GW101" s="181"/>
      <c r="GX101" s="181"/>
      <c r="GY101" s="181"/>
      <c r="GZ101" s="181"/>
      <c r="HA101" s="181"/>
      <c r="HB101" s="181"/>
      <c r="HC101" s="181"/>
      <c r="HD101" s="181"/>
      <c r="HE101" s="181"/>
      <c r="HF101" s="181"/>
      <c r="HG101" s="181"/>
      <c r="HH101" s="181"/>
      <c r="HI101" s="181"/>
      <c r="HJ101" s="181"/>
      <c r="HK101" s="181"/>
      <c r="HL101" s="181"/>
      <c r="HM101" s="181"/>
      <c r="HN101" s="181"/>
      <c r="HO101" s="181"/>
      <c r="HP101" s="181"/>
      <c r="HQ101" s="181"/>
      <c r="HR101" s="181"/>
      <c r="HS101" s="181"/>
      <c r="HT101" s="181"/>
      <c r="HU101" s="181"/>
      <c r="HV101" s="181"/>
      <c r="HW101" s="181"/>
      <c r="HX101" s="181"/>
      <c r="HY101" s="181"/>
      <c r="HZ101" s="181"/>
      <c r="IA101" s="181"/>
      <c r="IB101" s="181"/>
      <c r="IC101" s="181"/>
      <c r="ID101" s="181"/>
      <c r="IE101" s="169"/>
      <c r="IF101" s="183"/>
      <c r="IG101" s="183"/>
      <c r="IH101" s="183"/>
    </row>
    <row r="102" spans="2:249" s="171" customFormat="1" ht="36.75" hidden="1" customHeight="1" x14ac:dyDescent="0.25">
      <c r="B102" s="160"/>
      <c r="C102" s="161" t="s">
        <v>146</v>
      </c>
      <c r="D102" s="162"/>
      <c r="E102" s="163"/>
      <c r="F102" s="163"/>
      <c r="G102" s="163"/>
      <c r="H102" s="163"/>
      <c r="I102" s="163"/>
      <c r="J102" s="163"/>
      <c r="K102" s="163"/>
      <c r="L102" s="163"/>
      <c r="M102" s="163"/>
      <c r="N102" s="163"/>
      <c r="O102" s="163"/>
      <c r="P102" s="163"/>
      <c r="Q102" s="164"/>
      <c r="R102" s="164"/>
      <c r="S102" s="164"/>
      <c r="T102" s="164"/>
      <c r="U102" s="164"/>
      <c r="V102" s="164"/>
      <c r="W102" s="164"/>
      <c r="X102" s="164"/>
      <c r="Y102" s="164"/>
      <c r="Z102" s="164"/>
      <c r="AA102" s="164"/>
      <c r="AB102" s="164"/>
      <c r="AC102" s="164"/>
      <c r="AD102" s="164"/>
      <c r="AE102" s="164"/>
      <c r="AF102" s="164"/>
      <c r="AG102" s="164"/>
      <c r="AH102" s="164"/>
      <c r="AI102" s="165"/>
      <c r="AJ102" s="164"/>
      <c r="AK102" s="165"/>
      <c r="AL102" s="165"/>
      <c r="AM102" s="639"/>
      <c r="AN102" s="174"/>
      <c r="AO102" s="166"/>
      <c r="AP102" s="174"/>
      <c r="AQ102" s="174"/>
      <c r="AR102" s="174"/>
      <c r="AS102" s="164"/>
      <c r="AT102" s="164"/>
      <c r="AU102" s="164"/>
      <c r="AV102" s="164"/>
      <c r="AW102" s="164"/>
      <c r="AX102" s="164"/>
      <c r="AY102" s="164"/>
      <c r="AZ102" s="164"/>
      <c r="BA102" s="164"/>
      <c r="BB102" s="164"/>
      <c r="BC102" s="164"/>
      <c r="BD102" s="164"/>
      <c r="BE102" s="164"/>
      <c r="BF102" s="164"/>
      <c r="BG102" s="164"/>
      <c r="BH102" s="164"/>
      <c r="BI102" s="164"/>
      <c r="BJ102" s="164"/>
      <c r="BK102" s="167"/>
      <c r="BL102" s="168"/>
      <c r="BM102" s="168"/>
      <c r="BN102" s="168"/>
      <c r="BO102" s="168"/>
      <c r="BP102" s="168"/>
      <c r="BQ102" s="168"/>
      <c r="BR102" s="168"/>
      <c r="BS102" s="168"/>
      <c r="BT102" s="168"/>
      <c r="BU102" s="168"/>
      <c r="BV102" s="164"/>
      <c r="BW102" s="164"/>
      <c r="BX102" s="164"/>
      <c r="BY102" s="164"/>
      <c r="BZ102" s="164"/>
      <c r="CA102" s="164"/>
      <c r="CB102" s="164"/>
      <c r="CC102" s="164"/>
      <c r="CD102" s="164"/>
      <c r="CE102" s="168"/>
      <c r="CF102" s="168"/>
      <c r="CG102" s="164"/>
      <c r="CH102" s="164"/>
      <c r="CI102" s="164"/>
      <c r="CJ102" s="164"/>
      <c r="CK102" s="164"/>
      <c r="CL102" s="164"/>
      <c r="CM102" s="164"/>
      <c r="CN102" s="164"/>
      <c r="CO102" s="164"/>
      <c r="CP102" s="164"/>
      <c r="CQ102" s="164"/>
      <c r="CR102" s="164"/>
      <c r="CS102" s="164"/>
      <c r="CT102" s="164"/>
      <c r="CU102" s="164"/>
      <c r="CV102" s="164"/>
      <c r="CW102" s="164"/>
      <c r="CX102" s="164"/>
      <c r="CY102" s="164"/>
      <c r="CZ102" s="164"/>
      <c r="DA102" s="164"/>
      <c r="DB102" s="164"/>
      <c r="DC102" s="164"/>
      <c r="DD102" s="164"/>
      <c r="DE102" s="164"/>
      <c r="DF102" s="164"/>
      <c r="DG102" s="164"/>
      <c r="DH102" s="164"/>
      <c r="DI102" s="164"/>
      <c r="DJ102" s="164"/>
      <c r="DK102" s="164"/>
      <c r="DL102" s="164"/>
      <c r="DM102" s="164"/>
      <c r="DN102" s="164"/>
      <c r="DO102" s="164"/>
      <c r="DP102" s="164"/>
      <c r="DQ102" s="164"/>
      <c r="DR102" s="164"/>
      <c r="DS102" s="164"/>
      <c r="DT102" s="164"/>
      <c r="DU102" s="164"/>
      <c r="DV102" s="164"/>
      <c r="DW102" s="164"/>
      <c r="DX102" s="164"/>
      <c r="DY102" s="164"/>
      <c r="DZ102" s="164"/>
      <c r="EA102" s="164"/>
      <c r="EB102" s="164"/>
      <c r="EC102" s="164"/>
      <c r="ED102" s="164"/>
      <c r="EE102" s="164"/>
      <c r="EF102" s="164"/>
      <c r="EG102" s="164"/>
      <c r="EH102" s="164"/>
      <c r="EI102" s="164"/>
      <c r="EJ102" s="164"/>
      <c r="EK102" s="164"/>
      <c r="EL102" s="164"/>
      <c r="EM102" s="164"/>
      <c r="EN102" s="164"/>
      <c r="EO102" s="164"/>
      <c r="EP102" s="164"/>
      <c r="EQ102" s="164"/>
      <c r="ER102" s="164"/>
      <c r="ES102" s="163"/>
      <c r="ET102" s="164"/>
      <c r="EU102" s="164"/>
      <c r="EV102" s="164"/>
      <c r="EW102" s="164"/>
      <c r="EX102" s="164"/>
      <c r="EY102" s="164"/>
      <c r="EZ102" s="164"/>
      <c r="FA102" s="164"/>
      <c r="FB102" s="164"/>
      <c r="FC102" s="163">
        <f t="shared" si="246"/>
        <v>37800</v>
      </c>
      <c r="FD102" s="163">
        <v>37800</v>
      </c>
      <c r="FE102" s="163"/>
      <c r="FF102" s="163"/>
      <c r="FG102" s="163"/>
      <c r="FH102" s="163"/>
      <c r="FI102" s="163"/>
      <c r="FJ102" s="163"/>
      <c r="FK102" s="163"/>
      <c r="FL102" s="163"/>
      <c r="FM102" s="163"/>
      <c r="FN102" s="163"/>
      <c r="FO102" s="163"/>
      <c r="FP102" s="163"/>
      <c r="FQ102" s="163"/>
      <c r="FR102" s="163"/>
      <c r="FS102" s="90">
        <f t="shared" si="251"/>
        <v>0</v>
      </c>
      <c r="FT102" s="518">
        <f t="shared" si="252"/>
        <v>0</v>
      </c>
      <c r="FU102" s="90">
        <v>0</v>
      </c>
      <c r="FV102" s="518">
        <f t="shared" si="253"/>
        <v>0</v>
      </c>
      <c r="FW102" s="87"/>
      <c r="FX102" s="665"/>
      <c r="FY102" s="90"/>
      <c r="FZ102" s="665"/>
      <c r="GA102" s="90">
        <f>GC102</f>
        <v>0</v>
      </c>
      <c r="GB102" s="518">
        <f t="shared" si="248"/>
        <v>0</v>
      </c>
      <c r="GC102" s="90">
        <v>0</v>
      </c>
      <c r="GD102" s="518">
        <f t="shared" si="249"/>
        <v>0</v>
      </c>
      <c r="GE102" s="87"/>
      <c r="GF102" s="515"/>
      <c r="GG102" s="87"/>
      <c r="GH102" s="515"/>
      <c r="GI102" s="90">
        <f t="shared" si="250"/>
        <v>37611</v>
      </c>
      <c r="GJ102" s="518">
        <f t="shared" si="244"/>
        <v>0.995</v>
      </c>
      <c r="GK102" s="90">
        <v>37611</v>
      </c>
      <c r="GL102" s="518">
        <f t="shared" si="245"/>
        <v>0.995</v>
      </c>
      <c r="GM102" s="90"/>
      <c r="GN102" s="518"/>
      <c r="GO102" s="90"/>
      <c r="GP102" s="518"/>
      <c r="GQ102" s="164"/>
      <c r="GR102" s="164"/>
      <c r="GS102" s="164"/>
      <c r="GT102" s="164"/>
      <c r="GU102" s="164"/>
      <c r="GV102" s="164"/>
      <c r="GW102" s="164"/>
      <c r="GX102" s="164"/>
      <c r="GY102" s="164"/>
      <c r="GZ102" s="164"/>
      <c r="HA102" s="164"/>
      <c r="HB102" s="164"/>
      <c r="HC102" s="164"/>
      <c r="HD102" s="164"/>
      <c r="HE102" s="164"/>
      <c r="HF102" s="164"/>
      <c r="HG102" s="164"/>
      <c r="HH102" s="164"/>
      <c r="HI102" s="164"/>
      <c r="HJ102" s="164"/>
      <c r="HK102" s="164"/>
      <c r="HL102" s="164"/>
      <c r="HM102" s="164"/>
      <c r="HN102" s="164"/>
      <c r="HO102" s="164"/>
      <c r="HP102" s="164"/>
      <c r="HQ102" s="164"/>
      <c r="HR102" s="164"/>
      <c r="HS102" s="164"/>
      <c r="HT102" s="164"/>
      <c r="HU102" s="164"/>
      <c r="HV102" s="164"/>
      <c r="HW102" s="164"/>
      <c r="HX102" s="164"/>
      <c r="HY102" s="164"/>
      <c r="HZ102" s="164"/>
      <c r="IA102" s="164"/>
      <c r="IB102" s="164"/>
      <c r="IC102" s="164"/>
      <c r="ID102" s="164"/>
      <c r="IE102" s="185"/>
      <c r="IF102" s="170"/>
      <c r="IG102" s="170"/>
      <c r="IH102" s="170"/>
    </row>
    <row r="103" spans="2:249" s="171" customFormat="1" ht="36.75" hidden="1" customHeight="1" x14ac:dyDescent="0.25">
      <c r="B103" s="160"/>
      <c r="C103" s="161" t="s">
        <v>148</v>
      </c>
      <c r="D103" s="162"/>
      <c r="E103" s="163"/>
      <c r="F103" s="163"/>
      <c r="G103" s="163"/>
      <c r="H103" s="163"/>
      <c r="I103" s="163"/>
      <c r="J103" s="163"/>
      <c r="K103" s="163"/>
      <c r="L103" s="163"/>
      <c r="M103" s="163"/>
      <c r="N103" s="163"/>
      <c r="O103" s="163"/>
      <c r="P103" s="163"/>
      <c r="Q103" s="164"/>
      <c r="R103" s="164"/>
      <c r="S103" s="164"/>
      <c r="T103" s="164"/>
      <c r="U103" s="164"/>
      <c r="V103" s="164"/>
      <c r="W103" s="164"/>
      <c r="X103" s="164"/>
      <c r="Y103" s="164"/>
      <c r="Z103" s="164"/>
      <c r="AA103" s="164"/>
      <c r="AB103" s="164"/>
      <c r="AC103" s="164"/>
      <c r="AD103" s="164"/>
      <c r="AE103" s="164"/>
      <c r="AF103" s="164"/>
      <c r="AG103" s="164"/>
      <c r="AH103" s="164"/>
      <c r="AI103" s="165"/>
      <c r="AJ103" s="164"/>
      <c r="AK103" s="165"/>
      <c r="AL103" s="165"/>
      <c r="AM103" s="639"/>
      <c r="AN103" s="174"/>
      <c r="AO103" s="166"/>
      <c r="AP103" s="174"/>
      <c r="AQ103" s="174"/>
      <c r="AR103" s="174"/>
      <c r="AS103" s="164"/>
      <c r="AT103" s="164"/>
      <c r="AU103" s="164"/>
      <c r="AV103" s="164"/>
      <c r="AW103" s="164"/>
      <c r="AX103" s="164"/>
      <c r="AY103" s="164"/>
      <c r="AZ103" s="164"/>
      <c r="BA103" s="164"/>
      <c r="BB103" s="164"/>
      <c r="BC103" s="164"/>
      <c r="BD103" s="164"/>
      <c r="BE103" s="164"/>
      <c r="BF103" s="164"/>
      <c r="BG103" s="164"/>
      <c r="BH103" s="164"/>
      <c r="BI103" s="164"/>
      <c r="BJ103" s="164"/>
      <c r="BK103" s="167"/>
      <c r="BL103" s="168"/>
      <c r="BM103" s="168"/>
      <c r="BN103" s="168"/>
      <c r="BO103" s="168"/>
      <c r="BP103" s="168"/>
      <c r="BQ103" s="168"/>
      <c r="BR103" s="168"/>
      <c r="BS103" s="168"/>
      <c r="BT103" s="168"/>
      <c r="BU103" s="168"/>
      <c r="BV103" s="164"/>
      <c r="BW103" s="164"/>
      <c r="BX103" s="164"/>
      <c r="BY103" s="164"/>
      <c r="BZ103" s="164"/>
      <c r="CA103" s="164"/>
      <c r="CB103" s="164"/>
      <c r="CC103" s="164"/>
      <c r="CD103" s="164"/>
      <c r="CE103" s="168"/>
      <c r="CF103" s="168"/>
      <c r="CG103" s="164"/>
      <c r="CH103" s="164"/>
      <c r="CI103" s="164"/>
      <c r="CJ103" s="164"/>
      <c r="CK103" s="164"/>
      <c r="CL103" s="164"/>
      <c r="CM103" s="164"/>
      <c r="CN103" s="164"/>
      <c r="CO103" s="164"/>
      <c r="CP103" s="164"/>
      <c r="CQ103" s="164"/>
      <c r="CR103" s="164"/>
      <c r="CS103" s="164"/>
      <c r="CT103" s="164"/>
      <c r="CU103" s="164"/>
      <c r="CV103" s="164"/>
      <c r="CW103" s="164"/>
      <c r="CX103" s="164"/>
      <c r="CY103" s="164"/>
      <c r="CZ103" s="164"/>
      <c r="DA103" s="164"/>
      <c r="DB103" s="164"/>
      <c r="DC103" s="164"/>
      <c r="DD103" s="164"/>
      <c r="DE103" s="164"/>
      <c r="DF103" s="164"/>
      <c r="DG103" s="164"/>
      <c r="DH103" s="164"/>
      <c r="DI103" s="164"/>
      <c r="DJ103" s="164"/>
      <c r="DK103" s="164"/>
      <c r="DL103" s="164"/>
      <c r="DM103" s="164"/>
      <c r="DN103" s="164"/>
      <c r="DO103" s="164"/>
      <c r="DP103" s="164"/>
      <c r="DQ103" s="164"/>
      <c r="DR103" s="164"/>
      <c r="DS103" s="164"/>
      <c r="DT103" s="164"/>
      <c r="DU103" s="164"/>
      <c r="DV103" s="164"/>
      <c r="DW103" s="164"/>
      <c r="DX103" s="164"/>
      <c r="DY103" s="164"/>
      <c r="DZ103" s="164"/>
      <c r="EA103" s="164"/>
      <c r="EB103" s="164"/>
      <c r="EC103" s="164"/>
      <c r="ED103" s="164"/>
      <c r="EE103" s="164"/>
      <c r="EF103" s="164"/>
      <c r="EG103" s="164"/>
      <c r="EH103" s="164"/>
      <c r="EI103" s="164"/>
      <c r="EJ103" s="164"/>
      <c r="EK103" s="164"/>
      <c r="EL103" s="164"/>
      <c r="EM103" s="164"/>
      <c r="EN103" s="164"/>
      <c r="EO103" s="164"/>
      <c r="EP103" s="164"/>
      <c r="EQ103" s="164"/>
      <c r="ER103" s="164"/>
      <c r="ES103" s="163"/>
      <c r="ET103" s="164"/>
      <c r="EU103" s="164"/>
      <c r="EV103" s="164"/>
      <c r="EW103" s="164"/>
      <c r="EX103" s="164"/>
      <c r="EY103" s="164"/>
      <c r="EZ103" s="164"/>
      <c r="FA103" s="164"/>
      <c r="FB103" s="164"/>
      <c r="FC103" s="163">
        <f t="shared" si="246"/>
        <v>8700</v>
      </c>
      <c r="FD103" s="163">
        <v>8700</v>
      </c>
      <c r="FE103" s="163"/>
      <c r="FF103" s="163"/>
      <c r="FG103" s="163"/>
      <c r="FH103" s="163"/>
      <c r="FI103" s="163"/>
      <c r="FJ103" s="163"/>
      <c r="FK103" s="163"/>
      <c r="FL103" s="163"/>
      <c r="FM103" s="163"/>
      <c r="FN103" s="163"/>
      <c r="FO103" s="163"/>
      <c r="FP103" s="163"/>
      <c r="FQ103" s="163"/>
      <c r="FR103" s="163"/>
      <c r="FS103" s="90">
        <f t="shared" si="251"/>
        <v>7500</v>
      </c>
      <c r="FT103" s="518">
        <f t="shared" si="252"/>
        <v>0.86206896551724133</v>
      </c>
      <c r="FU103" s="90">
        <v>7500</v>
      </c>
      <c r="FV103" s="518">
        <f t="shared" si="253"/>
        <v>0.86206896551724133</v>
      </c>
      <c r="FW103" s="87"/>
      <c r="FX103" s="665"/>
      <c r="FY103" s="90"/>
      <c r="FZ103" s="665"/>
      <c r="GA103" s="90">
        <f>GC103</f>
        <v>7500</v>
      </c>
      <c r="GB103" s="518">
        <f t="shared" si="248"/>
        <v>0.86206896551724133</v>
      </c>
      <c r="GC103" s="90">
        <v>7500</v>
      </c>
      <c r="GD103" s="518">
        <f t="shared" si="249"/>
        <v>0.86206896551724133</v>
      </c>
      <c r="GE103" s="87"/>
      <c r="GF103" s="515"/>
      <c r="GG103" s="87"/>
      <c r="GH103" s="515"/>
      <c r="GI103" s="90">
        <f t="shared" si="250"/>
        <v>7579.8132100000003</v>
      </c>
      <c r="GJ103" s="518">
        <f t="shared" si="244"/>
        <v>0.87124289770114949</v>
      </c>
      <c r="GK103" s="90">
        <v>7579.8132100000003</v>
      </c>
      <c r="GL103" s="518">
        <f t="shared" si="245"/>
        <v>0.87124289770114949</v>
      </c>
      <c r="GM103" s="90"/>
      <c r="GN103" s="518"/>
      <c r="GO103" s="90"/>
      <c r="GP103" s="518"/>
      <c r="GQ103" s="164"/>
      <c r="GR103" s="164"/>
      <c r="GS103" s="164"/>
      <c r="GT103" s="164"/>
      <c r="GU103" s="164"/>
      <c r="GV103" s="164"/>
      <c r="GW103" s="164"/>
      <c r="GX103" s="164"/>
      <c r="GY103" s="164"/>
      <c r="GZ103" s="164"/>
      <c r="HA103" s="164"/>
      <c r="HB103" s="164"/>
      <c r="HC103" s="164"/>
      <c r="HD103" s="164"/>
      <c r="HE103" s="164"/>
      <c r="HF103" s="164"/>
      <c r="HG103" s="164"/>
      <c r="HH103" s="164"/>
      <c r="HI103" s="164"/>
      <c r="HJ103" s="164"/>
      <c r="HK103" s="164"/>
      <c r="HL103" s="164"/>
      <c r="HM103" s="164"/>
      <c r="HN103" s="164"/>
      <c r="HO103" s="164"/>
      <c r="HP103" s="164"/>
      <c r="HQ103" s="164"/>
      <c r="HR103" s="164"/>
      <c r="HS103" s="164"/>
      <c r="HT103" s="164"/>
      <c r="HU103" s="164"/>
      <c r="HV103" s="164"/>
      <c r="HW103" s="164"/>
      <c r="HX103" s="164"/>
      <c r="HY103" s="164"/>
      <c r="HZ103" s="164"/>
      <c r="IA103" s="164"/>
      <c r="IB103" s="164"/>
      <c r="IC103" s="164"/>
      <c r="ID103" s="164"/>
      <c r="IE103" s="185"/>
      <c r="IF103" s="170"/>
      <c r="IG103" s="170"/>
      <c r="IH103" s="170"/>
    </row>
    <row r="104" spans="2:249" s="202" customFormat="1" ht="81" customHeight="1" x14ac:dyDescent="0.25">
      <c r="B104" s="100" t="s">
        <v>502</v>
      </c>
      <c r="C104" s="176" t="s">
        <v>186</v>
      </c>
      <c r="D104" s="102" t="s">
        <v>187</v>
      </c>
      <c r="E104" s="103">
        <f>F104+G104</f>
        <v>64783.012199999997</v>
      </c>
      <c r="F104" s="103">
        <v>64759.412199999999</v>
      </c>
      <c r="G104" s="103">
        <v>23.6</v>
      </c>
      <c r="H104" s="103">
        <f>I104+J104</f>
        <v>-20540.649729999997</v>
      </c>
      <c r="I104" s="103">
        <f>L104-F104</f>
        <v>-20540.649729999997</v>
      </c>
      <c r="J104" s="103">
        <f>M104-G104</f>
        <v>0</v>
      </c>
      <c r="K104" s="103">
        <f>L104+M104</f>
        <v>44242.36247</v>
      </c>
      <c r="L104" s="103">
        <v>44218.762470000001</v>
      </c>
      <c r="M104" s="103">
        <v>23.6</v>
      </c>
      <c r="N104" s="103">
        <f>O104+P104</f>
        <v>-10000</v>
      </c>
      <c r="O104" s="103">
        <f>R104-L104</f>
        <v>-10000</v>
      </c>
      <c r="P104" s="103">
        <f>S104-M104</f>
        <v>0</v>
      </c>
      <c r="Q104" s="105">
        <f>R104+S104</f>
        <v>34242.36247</v>
      </c>
      <c r="R104" s="105">
        <f>44218.76247-10000</f>
        <v>34218.762470000001</v>
      </c>
      <c r="S104" s="105">
        <v>23.6</v>
      </c>
      <c r="T104" s="105">
        <f>U104+V104</f>
        <v>29363.333330000001</v>
      </c>
      <c r="U104" s="105">
        <v>0</v>
      </c>
      <c r="V104" s="105">
        <v>29363.333330000001</v>
      </c>
      <c r="W104" s="105">
        <f>X104+Y104</f>
        <v>-14000.000000000002</v>
      </c>
      <c r="X104" s="105">
        <f>AA104-U104</f>
        <v>15363.333329999999</v>
      </c>
      <c r="Y104" s="105">
        <f>AB104-V104</f>
        <v>-29363.333330000001</v>
      </c>
      <c r="Z104" s="105">
        <f>AA104+AB104</f>
        <v>15363.333329999999</v>
      </c>
      <c r="AA104" s="105">
        <v>15363.333329999999</v>
      </c>
      <c r="AB104" s="105">
        <v>0</v>
      </c>
      <c r="AC104" s="105">
        <f>AD104+AE104</f>
        <v>0</v>
      </c>
      <c r="AD104" s="105">
        <v>0</v>
      </c>
      <c r="AE104" s="105">
        <v>0</v>
      </c>
      <c r="AF104" s="105" t="e">
        <f>AG104+AH104</f>
        <v>#REF!</v>
      </c>
      <c r="AG104" s="105" t="e">
        <f>'[3]2017_с остатком на торги'!$AG$72</f>
        <v>#REF!</v>
      </c>
      <c r="AH104" s="105">
        <v>0</v>
      </c>
      <c r="AI104" s="106">
        <v>0</v>
      </c>
      <c r="AJ104" s="105">
        <v>0</v>
      </c>
      <c r="AK104" s="106">
        <f>Z104-AJ104</f>
        <v>15363.333329999999</v>
      </c>
      <c r="AL104" s="106" t="e">
        <f>AF104-AJ104</f>
        <v>#REF!</v>
      </c>
      <c r="AM104" s="108" t="s">
        <v>188</v>
      </c>
      <c r="AN104" s="108" t="s">
        <v>188</v>
      </c>
      <c r="AO104" s="109">
        <v>1</v>
      </c>
      <c r="AP104" s="108"/>
      <c r="AQ104" s="106">
        <v>7144.0362400000004</v>
      </c>
      <c r="AR104" s="106" t="e">
        <f>AF104-AP104-AQ104</f>
        <v>#REF!</v>
      </c>
      <c r="AS104" s="105">
        <f>AT104+AU104</f>
        <v>25000</v>
      </c>
      <c r="AT104" s="105">
        <v>25000</v>
      </c>
      <c r="AU104" s="105">
        <v>0</v>
      </c>
      <c r="AV104" s="105">
        <f>AW104+AX104</f>
        <v>-2000</v>
      </c>
      <c r="AW104" s="105">
        <v>-2000</v>
      </c>
      <c r="AX104" s="105">
        <v>0</v>
      </c>
      <c r="AY104" s="105">
        <f>AZ104+BA104</f>
        <v>23000</v>
      </c>
      <c r="AZ104" s="105">
        <f>AT104+AW104</f>
        <v>23000</v>
      </c>
      <c r="BA104" s="105">
        <v>0</v>
      </c>
      <c r="BB104" s="105">
        <f>BC104+BD104</f>
        <v>25000</v>
      </c>
      <c r="BC104" s="105">
        <v>25000</v>
      </c>
      <c r="BD104" s="105"/>
      <c r="BE104" s="105">
        <f>BF104+BG104</f>
        <v>0</v>
      </c>
      <c r="BF104" s="105">
        <f>BW104-BC104</f>
        <v>0</v>
      </c>
      <c r="BG104" s="105">
        <f>BX104-BD104</f>
        <v>0</v>
      </c>
      <c r="BH104" s="105">
        <f>BI104+BJ104</f>
        <v>23000</v>
      </c>
      <c r="BI104" s="105">
        <f>AZ104</f>
        <v>23000</v>
      </c>
      <c r="BJ104" s="105">
        <v>0</v>
      </c>
      <c r="BK104" s="110">
        <v>1</v>
      </c>
      <c r="BL104" s="106">
        <f>AZ104</f>
        <v>23000</v>
      </c>
      <c r="BM104" s="106">
        <f>BN104</f>
        <v>2153.5004899999999</v>
      </c>
      <c r="BN104" s="106">
        <v>2153.5004899999999</v>
      </c>
      <c r="BO104" s="106"/>
      <c r="BP104" s="106">
        <f>BQ104</f>
        <v>0</v>
      </c>
      <c r="BQ104" s="106">
        <v>0</v>
      </c>
      <c r="BR104" s="106"/>
      <c r="BS104" s="106">
        <f>BT104+BU104</f>
        <v>20846.499510000001</v>
      </c>
      <c r="BT104" s="106">
        <f>BI104-BN104-BQ104</f>
        <v>20846.499510000001</v>
      </c>
      <c r="BU104" s="106"/>
      <c r="BV104" s="105">
        <f>BW104+BX104</f>
        <v>25000</v>
      </c>
      <c r="BW104" s="105">
        <v>25000</v>
      </c>
      <c r="BX104" s="105"/>
      <c r="BY104" s="105">
        <f>BZ104+CA104</f>
        <v>0</v>
      </c>
      <c r="BZ104" s="105">
        <v>0</v>
      </c>
      <c r="CA104" s="105">
        <v>0</v>
      </c>
      <c r="CB104" s="105">
        <f>CC104+CD104</f>
        <v>23000</v>
      </c>
      <c r="CC104" s="105">
        <f>BI104</f>
        <v>23000</v>
      </c>
      <c r="CD104" s="105"/>
      <c r="CE104" s="106">
        <v>1</v>
      </c>
      <c r="CF104" s="106">
        <f>CB104</f>
        <v>23000</v>
      </c>
      <c r="CG104" s="111"/>
      <c r="CH104" s="105">
        <f>CI104+CJ104</f>
        <v>10000</v>
      </c>
      <c r="CI104" s="105">
        <v>10000</v>
      </c>
      <c r="CJ104" s="105">
        <v>0</v>
      </c>
      <c r="CK104" s="105">
        <f>CL104+CM104</f>
        <v>0</v>
      </c>
      <c r="CL104" s="105">
        <f>CR104-CI104</f>
        <v>0</v>
      </c>
      <c r="CM104" s="105">
        <v>0</v>
      </c>
      <c r="CN104" s="105"/>
      <c r="CO104" s="105"/>
      <c r="CP104" s="105"/>
      <c r="CQ104" s="105">
        <f>CR104+CS104</f>
        <v>10000</v>
      </c>
      <c r="CR104" s="105">
        <v>10000</v>
      </c>
      <c r="CS104" s="105">
        <v>0</v>
      </c>
      <c r="CT104" s="105">
        <f>CU104+CV104</f>
        <v>0</v>
      </c>
      <c r="CU104" s="105"/>
      <c r="CV104" s="105"/>
      <c r="CW104" s="105">
        <f>CX104+CY104</f>
        <v>19650</v>
      </c>
      <c r="CX104" s="105">
        <v>19650</v>
      </c>
      <c r="CY104" s="105"/>
      <c r="CZ104" s="105">
        <f>DA104+DB104</f>
        <v>10000</v>
      </c>
      <c r="DA104" s="105">
        <v>10000</v>
      </c>
      <c r="DB104" s="105">
        <v>0</v>
      </c>
      <c r="DC104" s="105"/>
      <c r="DD104" s="105"/>
      <c r="DE104" s="105"/>
      <c r="DF104" s="105">
        <f>DG104+DH104</f>
        <v>0</v>
      </c>
      <c r="DG104" s="105">
        <f>DJ104-CX104</f>
        <v>0</v>
      </c>
      <c r="DH104" s="105"/>
      <c r="DI104" s="105">
        <f>DJ104+DK104</f>
        <v>19650</v>
      </c>
      <c r="DJ104" s="105">
        <f>23000+16650-20000</f>
        <v>19650</v>
      </c>
      <c r="DK104" s="105"/>
      <c r="DL104" s="105">
        <f>DM104+DN104</f>
        <v>8746.1953099999992</v>
      </c>
      <c r="DM104" s="105">
        <v>8746.1953099999992</v>
      </c>
      <c r="DN104" s="105"/>
      <c r="DO104" s="105">
        <f>DP104+DQ104</f>
        <v>0</v>
      </c>
      <c r="DP104" s="105">
        <v>0</v>
      </c>
      <c r="DQ104" s="105"/>
      <c r="DR104" s="105">
        <f>DS104+DT104</f>
        <v>10903.804690000001</v>
      </c>
      <c r="DS104" s="105">
        <f>DJ104-DM104</f>
        <v>10903.804690000001</v>
      </c>
      <c r="DT104" s="105"/>
      <c r="DU104" s="105">
        <f>DV104+DW104</f>
        <v>10000</v>
      </c>
      <c r="DV104" s="105">
        <v>10000</v>
      </c>
      <c r="DW104" s="105"/>
      <c r="DX104" s="105">
        <f>DY104+DZ104</f>
        <v>15000</v>
      </c>
      <c r="DY104" s="105">
        <v>15000</v>
      </c>
      <c r="DZ104" s="105">
        <v>0</v>
      </c>
      <c r="EA104" s="105"/>
      <c r="EB104" s="105"/>
      <c r="EC104" s="105"/>
      <c r="ED104" s="105"/>
      <c r="EE104" s="105"/>
      <c r="EF104" s="105"/>
      <c r="EG104" s="181">
        <f>EH104</f>
        <v>72750</v>
      </c>
      <c r="EH104" s="181">
        <v>72750</v>
      </c>
      <c r="EI104" s="181"/>
      <c r="EJ104" s="105"/>
      <c r="EK104" s="105">
        <f>EL104+EN104</f>
        <v>0</v>
      </c>
      <c r="EL104" s="105"/>
      <c r="EM104" s="105"/>
      <c r="EN104" s="105"/>
      <c r="EO104" s="105">
        <f>EP104+ER104</f>
        <v>0</v>
      </c>
      <c r="EP104" s="105"/>
      <c r="EQ104" s="105"/>
      <c r="ER104" s="105"/>
      <c r="ES104" s="181">
        <f>ET104+EV104</f>
        <v>0</v>
      </c>
      <c r="ET104" s="181"/>
      <c r="EU104" s="105"/>
      <c r="EV104" s="105"/>
      <c r="EW104" s="105">
        <f>EX104+EY104</f>
        <v>15000</v>
      </c>
      <c r="EX104" s="105">
        <v>15000</v>
      </c>
      <c r="EY104" s="105">
        <v>0</v>
      </c>
      <c r="EZ104" s="105"/>
      <c r="FA104" s="105"/>
      <c r="FB104" s="105"/>
      <c r="FC104" s="180">
        <f t="shared" si="246"/>
        <v>95725.914659999995</v>
      </c>
      <c r="FD104" s="180">
        <v>95725.914659999995</v>
      </c>
      <c r="FE104" s="180"/>
      <c r="FF104" s="103"/>
      <c r="FG104" s="103">
        <f>FH104+FJ104</f>
        <v>7500</v>
      </c>
      <c r="FH104" s="104">
        <f>FP104-FD104</f>
        <v>7500</v>
      </c>
      <c r="FI104" s="103"/>
      <c r="FJ104" s="103"/>
      <c r="FK104" s="103">
        <f>FL104+FN104</f>
        <v>0</v>
      </c>
      <c r="FL104" s="103"/>
      <c r="FM104" s="103"/>
      <c r="FN104" s="103"/>
      <c r="FO104" s="180">
        <f>FP104</f>
        <v>103225.91465999999</v>
      </c>
      <c r="FP104" s="180">
        <f>EH104+30475.91466</f>
        <v>103225.91465999999</v>
      </c>
      <c r="FQ104" s="180"/>
      <c r="FR104" s="103"/>
      <c r="FS104" s="629">
        <f>FU104</f>
        <v>9910.84303</v>
      </c>
      <c r="FT104" s="595">
        <f t="shared" si="241"/>
        <v>0.10353354225134756</v>
      </c>
      <c r="FU104" s="629">
        <v>9910.84303</v>
      </c>
      <c r="FV104" s="595">
        <f t="shared" si="242"/>
        <v>0.10353354225134756</v>
      </c>
      <c r="FW104" s="522"/>
      <c r="FX104" s="666"/>
      <c r="FY104" s="629"/>
      <c r="FZ104" s="666"/>
      <c r="GA104" s="629">
        <f t="shared" si="247"/>
        <v>11647.133889999999</v>
      </c>
      <c r="GB104" s="595">
        <f t="shared" si="248"/>
        <v>0.12167169079938671</v>
      </c>
      <c r="GC104" s="629">
        <v>11647.133889999999</v>
      </c>
      <c r="GD104" s="595">
        <f t="shared" si="249"/>
        <v>0.12167169079938671</v>
      </c>
      <c r="GE104" s="522"/>
      <c r="GF104" s="514"/>
      <c r="GG104" s="522"/>
      <c r="GH104" s="514"/>
      <c r="GI104" s="629">
        <f t="shared" si="250"/>
        <v>64666.34532</v>
      </c>
      <c r="GJ104" s="595">
        <f t="shared" si="244"/>
        <v>0.67553645791406014</v>
      </c>
      <c r="GK104" s="629">
        <v>64666.34532</v>
      </c>
      <c r="GL104" s="595">
        <f t="shared" si="245"/>
        <v>0.67553645791406014</v>
      </c>
      <c r="GM104" s="629"/>
      <c r="GN104" s="595"/>
      <c r="GO104" s="629"/>
      <c r="GP104" s="595"/>
      <c r="GQ104" s="105"/>
      <c r="GR104" s="105"/>
      <c r="GS104" s="105"/>
      <c r="GT104" s="105"/>
      <c r="GU104" s="181">
        <f>GV104</f>
        <v>48600.1</v>
      </c>
      <c r="GV104" s="181">
        <v>48600.1</v>
      </c>
      <c r="GW104" s="181"/>
      <c r="GX104" s="105"/>
      <c r="GY104" s="105"/>
      <c r="GZ104" s="105"/>
      <c r="HA104" s="105"/>
      <c r="HB104" s="105"/>
      <c r="HC104" s="105"/>
      <c r="HD104" s="105"/>
      <c r="HE104" s="105"/>
      <c r="HF104" s="105"/>
      <c r="HG104" s="181">
        <f>HH104</f>
        <v>0</v>
      </c>
      <c r="HH104" s="181">
        <f>HP104-GV104</f>
        <v>0</v>
      </c>
      <c r="HI104" s="181"/>
      <c r="HJ104" s="105"/>
      <c r="HK104" s="181">
        <f>HL104</f>
        <v>0</v>
      </c>
      <c r="HL104" s="181">
        <f>IF104-GZ104</f>
        <v>0</v>
      </c>
      <c r="HM104" s="181"/>
      <c r="HN104" s="105"/>
      <c r="HO104" s="181">
        <f>HP104</f>
        <v>48600.1</v>
      </c>
      <c r="HP104" s="181">
        <v>48600.1</v>
      </c>
      <c r="HQ104" s="181"/>
      <c r="HR104" s="105"/>
      <c r="HS104" s="181">
        <f>HT104</f>
        <v>30500</v>
      </c>
      <c r="HT104" s="181">
        <v>30500</v>
      </c>
      <c r="HU104" s="181"/>
      <c r="HV104" s="105"/>
      <c r="HW104" s="181">
        <f>HX104</f>
        <v>0</v>
      </c>
      <c r="HX104" s="181">
        <f>IR104-HL104</f>
        <v>0</v>
      </c>
      <c r="HY104" s="181"/>
      <c r="HZ104" s="105"/>
      <c r="IA104" s="181">
        <f>IB104</f>
        <v>30500</v>
      </c>
      <c r="IB104" s="181">
        <v>30500</v>
      </c>
      <c r="IC104" s="181"/>
      <c r="ID104" s="105"/>
      <c r="IE104" s="198" t="s">
        <v>189</v>
      </c>
      <c r="IF104" s="173"/>
      <c r="IG104" s="173"/>
      <c r="IH104" s="173"/>
    </row>
    <row r="105" spans="2:249" s="205" customFormat="1" ht="76.5" customHeight="1" x14ac:dyDescent="0.25">
      <c r="B105" s="149" t="s">
        <v>190</v>
      </c>
      <c r="C105" s="150" t="s">
        <v>191</v>
      </c>
      <c r="D105" s="151" t="s">
        <v>192</v>
      </c>
      <c r="E105" s="152" t="e">
        <f>F105+G105</f>
        <v>#REF!</v>
      </c>
      <c r="F105" s="152" t="e">
        <f>SUM(#REF!)</f>
        <v>#REF!</v>
      </c>
      <c r="G105" s="152" t="e">
        <f>SUM(#REF!)</f>
        <v>#REF!</v>
      </c>
      <c r="H105" s="152" t="e">
        <f>I105+J105</f>
        <v>#REF!</v>
      </c>
      <c r="I105" s="152" t="e">
        <f>SUM(#REF!)</f>
        <v>#REF!</v>
      </c>
      <c r="J105" s="152" t="e">
        <f>SUM(#REF!)</f>
        <v>#REF!</v>
      </c>
      <c r="K105" s="152" t="e">
        <f>L105+M105</f>
        <v>#REF!</v>
      </c>
      <c r="L105" s="152" t="e">
        <f>SUM(#REF!)</f>
        <v>#REF!</v>
      </c>
      <c r="M105" s="152" t="e">
        <f>SUM(#REF!)</f>
        <v>#REF!</v>
      </c>
      <c r="N105" s="152" t="e">
        <f>O105+P105</f>
        <v>#REF!</v>
      </c>
      <c r="O105" s="152" t="e">
        <f>SUM(#REF!)</f>
        <v>#REF!</v>
      </c>
      <c r="P105" s="152" t="e">
        <f>SUM(#REF!)</f>
        <v>#REF!</v>
      </c>
      <c r="Q105" s="481" t="e">
        <f>R105+S105</f>
        <v>#REF!</v>
      </c>
      <c r="R105" s="481" t="e">
        <f>SUM(#REF!)</f>
        <v>#REF!</v>
      </c>
      <c r="S105" s="481" t="e">
        <f>SUM(#REF!)</f>
        <v>#REF!</v>
      </c>
      <c r="T105" s="481" t="e">
        <f>U105+V105</f>
        <v>#REF!</v>
      </c>
      <c r="U105" s="481" t="e">
        <f>SUM(#REF!)</f>
        <v>#REF!</v>
      </c>
      <c r="V105" s="481" t="e">
        <f>SUM(#REF!)</f>
        <v>#REF!</v>
      </c>
      <c r="W105" s="481" t="e">
        <f>X105+Y105</f>
        <v>#REF!</v>
      </c>
      <c r="X105" s="481" t="e">
        <f>SUM(#REF!)</f>
        <v>#REF!</v>
      </c>
      <c r="Y105" s="481" t="e">
        <f>SUM(#REF!)</f>
        <v>#REF!</v>
      </c>
      <c r="Z105" s="481" t="e">
        <f>AA105+AB105</f>
        <v>#REF!</v>
      </c>
      <c r="AA105" s="481" t="e">
        <f>SUM(#REF!)</f>
        <v>#REF!</v>
      </c>
      <c r="AB105" s="481" t="e">
        <f>SUM(#REF!)</f>
        <v>#REF!</v>
      </c>
      <c r="AC105" s="481" t="e">
        <f>SUM(#REF!)</f>
        <v>#REF!</v>
      </c>
      <c r="AD105" s="481" t="e">
        <f>SUM(#REF!)</f>
        <v>#REF!</v>
      </c>
      <c r="AE105" s="481" t="e">
        <f>SUM(#REF!)</f>
        <v>#REF!</v>
      </c>
      <c r="AF105" s="481" t="e">
        <f>SUM(#REF!)</f>
        <v>#REF!</v>
      </c>
      <c r="AG105" s="481" t="e">
        <f>SUM(#REF!)</f>
        <v>#REF!</v>
      </c>
      <c r="AH105" s="481" t="e">
        <f>SUM(#REF!)</f>
        <v>#REF!</v>
      </c>
      <c r="AI105" s="481" t="e">
        <f>SUM(#REF!)</f>
        <v>#REF!</v>
      </c>
      <c r="AJ105" s="481" t="e">
        <f>SUM(#REF!)</f>
        <v>#REF!</v>
      </c>
      <c r="AK105" s="154" t="e">
        <f>SUM(#REF!)</f>
        <v>#REF!</v>
      </c>
      <c r="AL105" s="154" t="e">
        <f>SUM(#REF!)</f>
        <v>#REF!</v>
      </c>
      <c r="AM105" s="107" t="e">
        <f>SUM(#REF!)</f>
        <v>#REF!</v>
      </c>
      <c r="AN105" s="107" t="e">
        <f>SUM(#REF!)</f>
        <v>#REF!</v>
      </c>
      <c r="AO105" s="155">
        <v>1</v>
      </c>
      <c r="AP105" s="481" t="e">
        <f>SUM(#REF!)</f>
        <v>#REF!</v>
      </c>
      <c r="AQ105" s="481" t="e">
        <f>SUM(#REF!)</f>
        <v>#REF!</v>
      </c>
      <c r="AR105" s="154" t="e">
        <f>SUM(#REF!)</f>
        <v>#REF!</v>
      </c>
      <c r="AS105" s="481" t="e">
        <f>AT105+AU105</f>
        <v>#REF!</v>
      </c>
      <c r="AT105" s="481" t="e">
        <f>SUM(#REF!)</f>
        <v>#REF!</v>
      </c>
      <c r="AU105" s="481" t="e">
        <f>SUM(#REF!)</f>
        <v>#REF!</v>
      </c>
      <c r="AV105" s="481" t="e">
        <f>AW105+AX105</f>
        <v>#REF!</v>
      </c>
      <c r="AW105" s="481" t="e">
        <f>SUM(#REF!)</f>
        <v>#REF!</v>
      </c>
      <c r="AX105" s="481" t="e">
        <f>SUM(#REF!)</f>
        <v>#REF!</v>
      </c>
      <c r="AY105" s="481" t="e">
        <f>AZ105+BA105</f>
        <v>#REF!</v>
      </c>
      <c r="AZ105" s="481" t="e">
        <f>SUM(#REF!)</f>
        <v>#REF!</v>
      </c>
      <c r="BA105" s="481" t="e">
        <f>SUM(#REF!)</f>
        <v>#REF!</v>
      </c>
      <c r="BB105" s="481" t="e">
        <f>BC105+BD105</f>
        <v>#REF!</v>
      </c>
      <c r="BC105" s="481" t="e">
        <f>SUM(#REF!)</f>
        <v>#REF!</v>
      </c>
      <c r="BD105" s="481" t="e">
        <f>SUM(#REF!)</f>
        <v>#REF!</v>
      </c>
      <c r="BE105" s="481" t="e">
        <f>BF105+BG105</f>
        <v>#REF!</v>
      </c>
      <c r="BF105" s="481" t="e">
        <f>SUM(#REF!)</f>
        <v>#REF!</v>
      </c>
      <c r="BG105" s="481" t="e">
        <f>SUM(#REF!)</f>
        <v>#REF!</v>
      </c>
      <c r="BH105" s="481" t="e">
        <f>BI105+BJ105</f>
        <v>#REF!</v>
      </c>
      <c r="BI105" s="481" t="e">
        <f>SUM(#REF!)</f>
        <v>#REF!</v>
      </c>
      <c r="BJ105" s="481" t="e">
        <f>SUM(#REF!)</f>
        <v>#REF!</v>
      </c>
      <c r="BK105" s="156">
        <v>1</v>
      </c>
      <c r="BL105" s="154" t="e">
        <f>AZ105</f>
        <v>#REF!</v>
      </c>
      <c r="BM105" s="154" t="e">
        <f>BN105+BO105</f>
        <v>#REF!</v>
      </c>
      <c r="BN105" s="154" t="e">
        <f>SUM(#REF!)</f>
        <v>#REF!</v>
      </c>
      <c r="BO105" s="154" t="e">
        <f>SUM(#REF!)</f>
        <v>#REF!</v>
      </c>
      <c r="BP105" s="154" t="e">
        <f>BQ105+BR105</f>
        <v>#REF!</v>
      </c>
      <c r="BQ105" s="154" t="e">
        <f>SUM(#REF!)</f>
        <v>#REF!</v>
      </c>
      <c r="BR105" s="154" t="e">
        <f>SUM(#REF!)</f>
        <v>#REF!</v>
      </c>
      <c r="BS105" s="154" t="e">
        <f>BT105+BU105</f>
        <v>#REF!</v>
      </c>
      <c r="BT105" s="154" t="e">
        <f>SUM(#REF!)</f>
        <v>#REF!</v>
      </c>
      <c r="BU105" s="154" t="e">
        <f>SUM(#REF!)</f>
        <v>#REF!</v>
      </c>
      <c r="BV105" s="481" t="e">
        <f>BW105+BX105</f>
        <v>#REF!</v>
      </c>
      <c r="BW105" s="481" t="e">
        <f>SUM(#REF!)</f>
        <v>#REF!</v>
      </c>
      <c r="BX105" s="481" t="e">
        <f>SUM(#REF!)</f>
        <v>#REF!</v>
      </c>
      <c r="BY105" s="481" t="e">
        <f>BZ105+CA105</f>
        <v>#REF!</v>
      </c>
      <c r="BZ105" s="481" t="e">
        <f>SUM(#REF!)</f>
        <v>#REF!</v>
      </c>
      <c r="CA105" s="481" t="e">
        <f>SUM(#REF!)</f>
        <v>#REF!</v>
      </c>
      <c r="CB105" s="481">
        <f t="shared" ref="CB105:CV105" si="254">CB110+CB113+CB116+CB119+CB136</f>
        <v>20600</v>
      </c>
      <c r="CC105" s="481">
        <f t="shared" si="254"/>
        <v>20600</v>
      </c>
      <c r="CD105" s="481">
        <f t="shared" si="254"/>
        <v>0</v>
      </c>
      <c r="CE105" s="154">
        <f t="shared" si="254"/>
        <v>5</v>
      </c>
      <c r="CF105" s="154">
        <f t="shared" si="254"/>
        <v>20600</v>
      </c>
      <c r="CG105" s="481">
        <f t="shared" si="254"/>
        <v>0</v>
      </c>
      <c r="CH105" s="481">
        <f t="shared" si="254"/>
        <v>68000</v>
      </c>
      <c r="CI105" s="481">
        <f t="shared" si="254"/>
        <v>68000</v>
      </c>
      <c r="CJ105" s="481">
        <f t="shared" si="254"/>
        <v>0</v>
      </c>
      <c r="CK105" s="481">
        <f t="shared" si="254"/>
        <v>0</v>
      </c>
      <c r="CL105" s="481">
        <f t="shared" si="254"/>
        <v>0</v>
      </c>
      <c r="CM105" s="481">
        <f t="shared" si="254"/>
        <v>0</v>
      </c>
      <c r="CN105" s="481">
        <f t="shared" si="254"/>
        <v>0</v>
      </c>
      <c r="CO105" s="481">
        <f t="shared" si="254"/>
        <v>0</v>
      </c>
      <c r="CP105" s="481">
        <f t="shared" si="254"/>
        <v>0</v>
      </c>
      <c r="CQ105" s="481">
        <f t="shared" si="254"/>
        <v>68000</v>
      </c>
      <c r="CR105" s="481">
        <f t="shared" si="254"/>
        <v>68000</v>
      </c>
      <c r="CS105" s="481">
        <f t="shared" si="254"/>
        <v>0</v>
      </c>
      <c r="CT105" s="481">
        <f t="shared" si="254"/>
        <v>0</v>
      </c>
      <c r="CU105" s="481">
        <f t="shared" si="254"/>
        <v>0</v>
      </c>
      <c r="CV105" s="481">
        <f t="shared" si="254"/>
        <v>0</v>
      </c>
      <c r="CW105" s="481">
        <f>CW110+CW113+CW116+CW119+CW136+CW125+CW129</f>
        <v>75192.188309999998</v>
      </c>
      <c r="CX105" s="481">
        <f>CX110+CX113+CX116+CX119+CX136+CX125+CX129</f>
        <v>75192.188309999998</v>
      </c>
      <c r="CY105" s="481">
        <f>CY110+CY113+CY116+CY119+CY136+CY125</f>
        <v>0</v>
      </c>
      <c r="CZ105" s="481">
        <f>CZ110+CZ113+CZ116+CZ119+CZ136</f>
        <v>12600</v>
      </c>
      <c r="DA105" s="481">
        <f>DA110+DA113+DA116+DA119+DA136</f>
        <v>12600</v>
      </c>
      <c r="DB105" s="481">
        <f>DB110+DB113+DB116+DB119+DB136</f>
        <v>0</v>
      </c>
      <c r="DC105" s="481"/>
      <c r="DD105" s="481"/>
      <c r="DE105" s="481"/>
      <c r="DF105" s="481">
        <f>DF110+DF113+DF116+DF119+DF136+DF125+DF129</f>
        <v>0</v>
      </c>
      <c r="DG105" s="481">
        <f>DG110+DG113+DG116+DG119+DG136+DG125+DG129</f>
        <v>0</v>
      </c>
      <c r="DH105" s="481">
        <f>DH110+DH113+DH116+DH119+DH136</f>
        <v>0</v>
      </c>
      <c r="DI105" s="481">
        <f>DI110+DI113+DI116+DI119+DI136+DI125+DI129</f>
        <v>75192.188309999998</v>
      </c>
      <c r="DJ105" s="481">
        <f>DJ110+DJ113+DJ116+DJ119+DJ136+DJ125+DJ129</f>
        <v>75192.188309999998</v>
      </c>
      <c r="DK105" s="481">
        <f>DK110+DK113+DK116+DK119+DK136</f>
        <v>0</v>
      </c>
      <c r="DL105" s="481">
        <f>DL110+DL113+DL116+DL119+DL136+DL125</f>
        <v>40192.188309999998</v>
      </c>
      <c r="DM105" s="481">
        <f>DM110+DM113+DM116+DM119+DM136+DM125+DM129</f>
        <v>40192.188309999998</v>
      </c>
      <c r="DN105" s="481">
        <f>DN110+DN113+DN116+DN119+DN136</f>
        <v>0</v>
      </c>
      <c r="DO105" s="481">
        <f>DO110+DO113+DO116+DO119+DO136+DO125</f>
        <v>0</v>
      </c>
      <c r="DP105" s="481">
        <f>DP110+DP113+DP116+DP119+DP136+DP125</f>
        <v>0</v>
      </c>
      <c r="DQ105" s="481">
        <f>DQ110+DQ113+DQ116+DQ119+DQ136</f>
        <v>0</v>
      </c>
      <c r="DR105" s="481">
        <f>DS105</f>
        <v>35000</v>
      </c>
      <c r="DS105" s="481">
        <f>DS110+DS113+DS116+DS119+DS136+DS125+DS129</f>
        <v>35000</v>
      </c>
      <c r="DT105" s="481">
        <f>DT110+DT113+DT116+DT119+DT136</f>
        <v>0</v>
      </c>
      <c r="DU105" s="481">
        <f>DU110+DU113+DU116+DU119+DU136+DU125+DU129</f>
        <v>22600</v>
      </c>
      <c r="DV105" s="481">
        <f>DV110+DV113+DV116+DV119+DV136+DV125+DV129</f>
        <v>22600</v>
      </c>
      <c r="DW105" s="481"/>
      <c r="DX105" s="481">
        <f>DX110+DX113+DX116+DX119+DX136</f>
        <v>17200</v>
      </c>
      <c r="DY105" s="481">
        <f>DY110+DY113+DY116+DY119+DY136</f>
        <v>17200</v>
      </c>
      <c r="DZ105" s="481">
        <f>DZ110+DZ113+DZ116+DZ119+DZ136</f>
        <v>0</v>
      </c>
      <c r="EA105" s="481"/>
      <c r="EB105" s="481"/>
      <c r="EC105" s="481"/>
      <c r="ED105" s="481">
        <f>EE105</f>
        <v>8583.0925400000015</v>
      </c>
      <c r="EE105" s="481">
        <f>EE110+EE113+EE116+EE119+EE125+EE129+EE136</f>
        <v>8583.0925400000015</v>
      </c>
      <c r="EF105" s="481"/>
      <c r="EG105" s="481">
        <f>EH105</f>
        <v>693950</v>
      </c>
      <c r="EH105" s="481">
        <f>EH106+EH107</f>
        <v>693950</v>
      </c>
      <c r="EI105" s="481"/>
      <c r="EJ105" s="481">
        <f>EJ110+EJ113+EJ116+EJ119+EJ136</f>
        <v>0</v>
      </c>
      <c r="EK105" s="481">
        <f>EL105</f>
        <v>-81225.827449999997</v>
      </c>
      <c r="EL105" s="481">
        <f>EL106+EL107</f>
        <v>-81225.827449999997</v>
      </c>
      <c r="EM105" s="481"/>
      <c r="EN105" s="481">
        <f>EN110+EN113+EN116+EN119+EN136</f>
        <v>0</v>
      </c>
      <c r="EO105" s="481">
        <f>EO110+EO113+EO116+EO119+EO136</f>
        <v>0</v>
      </c>
      <c r="EP105" s="481">
        <f>EP110+EP113+EP116+EP119+EP136</f>
        <v>0</v>
      </c>
      <c r="EQ105" s="481"/>
      <c r="ER105" s="481">
        <f>ER110+ER113+ER116+ER119+ER136</f>
        <v>0</v>
      </c>
      <c r="ES105" s="481">
        <f>ET105</f>
        <v>216985.70337999999</v>
      </c>
      <c r="ET105" s="481">
        <f>ET106+ET107</f>
        <v>216985.70337999999</v>
      </c>
      <c r="EU105" s="481"/>
      <c r="EV105" s="481"/>
      <c r="EW105" s="481">
        <f>EW110+EW113+EW116+EW119+EW136+EW125+EW129</f>
        <v>97200</v>
      </c>
      <c r="EX105" s="481">
        <f>EX110+EX113+EX116+EX119+EX136+EX125+EX129</f>
        <v>97200</v>
      </c>
      <c r="EY105" s="481">
        <f>EY110+EY113+EY116+EY119+EY136</f>
        <v>0</v>
      </c>
      <c r="EZ105" s="481">
        <f>FA105</f>
        <v>-64894.616600000001</v>
      </c>
      <c r="FA105" s="481">
        <f>FA110+FA113+FA116+FA119+FA136+FA125+FA129</f>
        <v>-64894.616600000001</v>
      </c>
      <c r="FB105" s="481">
        <f>FB110+FB113+FB116+FB119+FB136</f>
        <v>0</v>
      </c>
      <c r="FC105" s="152">
        <f t="shared" si="246"/>
        <v>878161.20389</v>
      </c>
      <c r="FD105" s="152">
        <f>FD106+FD107</f>
        <v>878161.20389</v>
      </c>
      <c r="FE105" s="152"/>
      <c r="FF105" s="152">
        <f>FF110+FF113+FF116+FF119+FF136</f>
        <v>0</v>
      </c>
      <c r="FG105" s="152">
        <f>FH105</f>
        <v>98528.843700000012</v>
      </c>
      <c r="FH105" s="152">
        <f>FH106+FH107</f>
        <v>98528.843700000012</v>
      </c>
      <c r="FI105" s="152"/>
      <c r="FJ105" s="152">
        <f>FJ110+FJ113+FJ116+FJ119+FJ136</f>
        <v>0</v>
      </c>
      <c r="FK105" s="152">
        <f>FK110+FK113+FK116+FK119+FK136</f>
        <v>0</v>
      </c>
      <c r="FL105" s="152">
        <f>FL110+FL113+FL116+FL119+FL136</f>
        <v>0</v>
      </c>
      <c r="FM105" s="152"/>
      <c r="FN105" s="152">
        <f>FN110+FN113+FN116+FN119+FN136</f>
        <v>0</v>
      </c>
      <c r="FO105" s="152">
        <f>FP105</f>
        <v>976690.04758999997</v>
      </c>
      <c r="FP105" s="152">
        <f>FP106+FP107</f>
        <v>976690.04758999997</v>
      </c>
      <c r="FQ105" s="152"/>
      <c r="FR105" s="152">
        <f>FR110+FR113+FR116+FR119+FR136</f>
        <v>0</v>
      </c>
      <c r="FS105" s="39">
        <f t="shared" si="195"/>
        <v>456477.9999</v>
      </c>
      <c r="FT105" s="485">
        <f t="shared" si="241"/>
        <v>0.51981116664905547</v>
      </c>
      <c r="FU105" s="152">
        <f>FU106+FU107</f>
        <v>456477.9999</v>
      </c>
      <c r="FV105" s="485">
        <f t="shared" si="242"/>
        <v>0.51981116664905547</v>
      </c>
      <c r="FW105" s="38"/>
      <c r="FX105" s="660"/>
      <c r="FY105" s="152"/>
      <c r="FZ105" s="660"/>
      <c r="GA105" s="152">
        <f t="shared" si="247"/>
        <v>429610.05248000001</v>
      </c>
      <c r="GB105" s="485">
        <f t="shared" si="248"/>
        <v>0.48921547726881104</v>
      </c>
      <c r="GC105" s="152">
        <f>GC106+GC107</f>
        <v>429610.05248000001</v>
      </c>
      <c r="GD105" s="485">
        <f t="shared" si="249"/>
        <v>0.48921547726881104</v>
      </c>
      <c r="GE105" s="38"/>
      <c r="GF105" s="498"/>
      <c r="GG105" s="38"/>
      <c r="GH105" s="498"/>
      <c r="GI105" s="39">
        <f t="shared" si="250"/>
        <v>787567.55119000003</v>
      </c>
      <c r="GJ105" s="485">
        <f t="shared" si="244"/>
        <v>0.89683710428256647</v>
      </c>
      <c r="GK105" s="39">
        <f>GK106+GK107</f>
        <v>787567.55119000003</v>
      </c>
      <c r="GL105" s="485">
        <f t="shared" si="245"/>
        <v>0.89683710428256647</v>
      </c>
      <c r="GM105" s="39"/>
      <c r="GN105" s="485"/>
      <c r="GO105" s="39"/>
      <c r="GP105" s="485"/>
      <c r="GQ105" s="481"/>
      <c r="GR105" s="481"/>
      <c r="GS105" s="481"/>
      <c r="GT105" s="481"/>
      <c r="GU105" s="481">
        <f>GV105</f>
        <v>1086753</v>
      </c>
      <c r="GV105" s="481">
        <f>GV106+GV107</f>
        <v>1086753</v>
      </c>
      <c r="GW105" s="481"/>
      <c r="GX105" s="481">
        <f>GX110+GX113+GX116+GX119+GX136</f>
        <v>0</v>
      </c>
      <c r="GY105" s="481"/>
      <c r="GZ105" s="481"/>
      <c r="HA105" s="481"/>
      <c r="HB105" s="481"/>
      <c r="HC105" s="481"/>
      <c r="HD105" s="481"/>
      <c r="HE105" s="481"/>
      <c r="HF105" s="481"/>
      <c r="HG105" s="481">
        <f>HH105</f>
        <v>-127000</v>
      </c>
      <c r="HH105" s="481">
        <f>HH106+HH107</f>
        <v>-127000</v>
      </c>
      <c r="HI105" s="481"/>
      <c r="HJ105" s="481">
        <f>HJ110+HJ113+HJ116+HJ119+HJ136</f>
        <v>0</v>
      </c>
      <c r="HK105" s="481" t="e">
        <f>HL105</f>
        <v>#REF!</v>
      </c>
      <c r="HL105" s="481" t="e">
        <f>HL106+HL107</f>
        <v>#REF!</v>
      </c>
      <c r="HM105" s="481"/>
      <c r="HN105" s="481">
        <f>HN110+HN113+HN116+HN119+HN136</f>
        <v>0</v>
      </c>
      <c r="HO105" s="481">
        <f>HP105</f>
        <v>959753</v>
      </c>
      <c r="HP105" s="481">
        <f>HP106+HP107</f>
        <v>959753</v>
      </c>
      <c r="HQ105" s="481"/>
      <c r="HR105" s="481">
        <f>HR110+HR113+HR116+HR119+HR136</f>
        <v>0</v>
      </c>
      <c r="HS105" s="481">
        <f>HT105</f>
        <v>477600</v>
      </c>
      <c r="HT105" s="481">
        <f>HT106+HT107</f>
        <v>477600</v>
      </c>
      <c r="HU105" s="481"/>
      <c r="HV105" s="481">
        <f>HV110+HV113+HV116+HV119+HV136</f>
        <v>0</v>
      </c>
      <c r="HW105" s="481">
        <f>HX105</f>
        <v>423500</v>
      </c>
      <c r="HX105" s="481">
        <f>HX106+HX107</f>
        <v>423500</v>
      </c>
      <c r="HY105" s="481"/>
      <c r="HZ105" s="481">
        <f>HZ110+HZ113+HZ116+HZ119+HZ136</f>
        <v>0</v>
      </c>
      <c r="IA105" s="481">
        <f>IB105</f>
        <v>901100</v>
      </c>
      <c r="IB105" s="481">
        <f>IB106+IB107</f>
        <v>901100</v>
      </c>
      <c r="IC105" s="481"/>
      <c r="ID105" s="481">
        <f>ID110+ID113+ID116+ID119+ID136</f>
        <v>0</v>
      </c>
      <c r="IE105" s="564"/>
      <c r="IF105" s="204"/>
      <c r="IG105" s="204"/>
      <c r="IH105" s="204"/>
    </row>
    <row r="106" spans="2:249" s="202" customFormat="1" ht="41.25" customHeight="1" x14ac:dyDescent="0.25">
      <c r="B106" s="100"/>
      <c r="C106" s="101" t="s">
        <v>131</v>
      </c>
      <c r="D106" s="102"/>
      <c r="E106" s="103"/>
      <c r="F106" s="104"/>
      <c r="G106" s="104"/>
      <c r="H106" s="103"/>
      <c r="I106" s="104"/>
      <c r="J106" s="104"/>
      <c r="K106" s="103"/>
      <c r="L106" s="104"/>
      <c r="M106" s="104"/>
      <c r="N106" s="103"/>
      <c r="O106" s="104"/>
      <c r="P106" s="104"/>
      <c r="Q106" s="105"/>
      <c r="R106" s="106"/>
      <c r="S106" s="106"/>
      <c r="T106" s="105"/>
      <c r="U106" s="106"/>
      <c r="V106" s="106"/>
      <c r="W106" s="105"/>
      <c r="X106" s="106"/>
      <c r="Y106" s="106"/>
      <c r="Z106" s="105"/>
      <c r="AA106" s="106"/>
      <c r="AB106" s="106"/>
      <c r="AC106" s="106"/>
      <c r="AD106" s="106"/>
      <c r="AE106" s="106"/>
      <c r="AF106" s="106"/>
      <c r="AG106" s="106"/>
      <c r="AH106" s="106"/>
      <c r="AI106" s="106"/>
      <c r="AJ106" s="106"/>
      <c r="AK106" s="106"/>
      <c r="AL106" s="106"/>
      <c r="AM106" s="111"/>
      <c r="AN106" s="108"/>
      <c r="AO106" s="109"/>
      <c r="AP106" s="106"/>
      <c r="AQ106" s="106"/>
      <c r="AR106" s="106"/>
      <c r="AS106" s="105"/>
      <c r="AT106" s="106"/>
      <c r="AU106" s="106"/>
      <c r="AV106" s="105"/>
      <c r="AW106" s="106"/>
      <c r="AX106" s="106"/>
      <c r="AY106" s="105"/>
      <c r="AZ106" s="106"/>
      <c r="BA106" s="106"/>
      <c r="BB106" s="105"/>
      <c r="BC106" s="106"/>
      <c r="BD106" s="106"/>
      <c r="BE106" s="105"/>
      <c r="BF106" s="106"/>
      <c r="BG106" s="106"/>
      <c r="BH106" s="105"/>
      <c r="BI106" s="106"/>
      <c r="BJ106" s="106"/>
      <c r="BK106" s="110"/>
      <c r="BL106" s="106"/>
      <c r="BM106" s="106"/>
      <c r="BN106" s="106"/>
      <c r="BO106" s="106"/>
      <c r="BP106" s="106"/>
      <c r="BQ106" s="106"/>
      <c r="BR106" s="106"/>
      <c r="BS106" s="106"/>
      <c r="BT106" s="106"/>
      <c r="BU106" s="106"/>
      <c r="BV106" s="105"/>
      <c r="BW106" s="106"/>
      <c r="BX106" s="106"/>
      <c r="BY106" s="105"/>
      <c r="BZ106" s="106"/>
      <c r="CA106" s="106"/>
      <c r="CB106" s="105"/>
      <c r="CC106" s="106"/>
      <c r="CD106" s="106"/>
      <c r="CE106" s="106"/>
      <c r="CF106" s="106"/>
      <c r="CG106" s="111"/>
      <c r="CH106" s="105"/>
      <c r="CI106" s="106"/>
      <c r="CJ106" s="106"/>
      <c r="CK106" s="105"/>
      <c r="CL106" s="106"/>
      <c r="CM106" s="106"/>
      <c r="CN106" s="106"/>
      <c r="CO106" s="106"/>
      <c r="CP106" s="106"/>
      <c r="CQ106" s="105"/>
      <c r="CR106" s="106"/>
      <c r="CS106" s="106"/>
      <c r="CT106" s="105"/>
      <c r="CU106" s="106"/>
      <c r="CV106" s="106"/>
      <c r="CW106" s="105"/>
      <c r="CX106" s="106"/>
      <c r="CY106" s="106"/>
      <c r="CZ106" s="105"/>
      <c r="DA106" s="106"/>
      <c r="DB106" s="106"/>
      <c r="DC106" s="106"/>
      <c r="DD106" s="106"/>
      <c r="DE106" s="106"/>
      <c r="DF106" s="105"/>
      <c r="DG106" s="106"/>
      <c r="DH106" s="106"/>
      <c r="DI106" s="105"/>
      <c r="DJ106" s="106"/>
      <c r="DK106" s="106"/>
      <c r="DL106" s="105"/>
      <c r="DM106" s="106"/>
      <c r="DN106" s="106"/>
      <c r="DO106" s="105"/>
      <c r="DP106" s="106"/>
      <c r="DQ106" s="106"/>
      <c r="DR106" s="105"/>
      <c r="DS106" s="106"/>
      <c r="DT106" s="106"/>
      <c r="DU106" s="105"/>
      <c r="DV106" s="106"/>
      <c r="DW106" s="106"/>
      <c r="DX106" s="105"/>
      <c r="DY106" s="106"/>
      <c r="DZ106" s="106"/>
      <c r="EA106" s="106"/>
      <c r="EB106" s="106"/>
      <c r="EC106" s="106"/>
      <c r="ED106" s="105"/>
      <c r="EE106" s="106"/>
      <c r="EF106" s="106"/>
      <c r="EG106" s="106">
        <f>EH106</f>
        <v>267450</v>
      </c>
      <c r="EH106" s="106">
        <f>EH110+EH113+EH120+EH129+EH132+EH136</f>
        <v>267450</v>
      </c>
      <c r="EI106" s="106"/>
      <c r="EJ106" s="106"/>
      <c r="EK106" s="106">
        <f>EL106</f>
        <v>-81225.827449999997</v>
      </c>
      <c r="EL106" s="106">
        <f>EL113+EL120+EL129+EL132+EL136</f>
        <v>-81225.827449999997</v>
      </c>
      <c r="EM106" s="106"/>
      <c r="EN106" s="106"/>
      <c r="EO106" s="105"/>
      <c r="EP106" s="106"/>
      <c r="EQ106" s="106"/>
      <c r="ER106" s="106"/>
      <c r="ES106" s="106">
        <f>ET106</f>
        <v>216985.70337999999</v>
      </c>
      <c r="ET106" s="106">
        <f>ET113+ET120+ET129+ET132+ET136</f>
        <v>216985.70337999999</v>
      </c>
      <c r="EU106" s="106"/>
      <c r="EV106" s="106"/>
      <c r="EW106" s="105"/>
      <c r="EX106" s="106"/>
      <c r="EY106" s="106"/>
      <c r="EZ106" s="105"/>
      <c r="FA106" s="106"/>
      <c r="FB106" s="106"/>
      <c r="FC106" s="104">
        <f t="shared" si="246"/>
        <v>451661.20389</v>
      </c>
      <c r="FD106" s="104">
        <f>FD113+FD120+FD129+FD132+FD136</f>
        <v>451661.20389</v>
      </c>
      <c r="FE106" s="104"/>
      <c r="FF106" s="104"/>
      <c r="FG106" s="104">
        <f>FH106</f>
        <v>98528.843700000012</v>
      </c>
      <c r="FH106" s="104">
        <f>FH113+FH120+FH129+FH132+FH136</f>
        <v>98528.843700000012</v>
      </c>
      <c r="FI106" s="104"/>
      <c r="FJ106" s="104"/>
      <c r="FK106" s="103"/>
      <c r="FL106" s="104"/>
      <c r="FM106" s="104"/>
      <c r="FN106" s="104"/>
      <c r="FO106" s="104">
        <f>FP106</f>
        <v>550190.04758999997</v>
      </c>
      <c r="FP106" s="104">
        <f>FP110+FP113+FP120+FP129+FP132+FP136</f>
        <v>550190.04758999997</v>
      </c>
      <c r="FQ106" s="104"/>
      <c r="FR106" s="104"/>
      <c r="FS106" s="629">
        <f t="shared" si="195"/>
        <v>343875.90116000001</v>
      </c>
      <c r="FT106" s="595">
        <f t="shared" si="241"/>
        <v>0.76135806706070197</v>
      </c>
      <c r="FU106" s="104">
        <f>FU113+FU120+FU129+FU132+FU136</f>
        <v>343875.90116000001</v>
      </c>
      <c r="FV106" s="595">
        <f t="shared" si="242"/>
        <v>0.76135806706070197</v>
      </c>
      <c r="FW106" s="522"/>
      <c r="FX106" s="666"/>
      <c r="FY106" s="104"/>
      <c r="FZ106" s="666"/>
      <c r="GA106" s="104">
        <f t="shared" si="247"/>
        <v>257913.41716000001</v>
      </c>
      <c r="GB106" s="595">
        <f t="shared" si="248"/>
        <v>0.57103292232913061</v>
      </c>
      <c r="GC106" s="104">
        <f>GC113+GC120+GC129+GC132+GC136</f>
        <v>257913.41716000001</v>
      </c>
      <c r="GD106" s="595">
        <f t="shared" si="249"/>
        <v>0.57103292232913061</v>
      </c>
      <c r="GE106" s="522"/>
      <c r="GF106" s="514"/>
      <c r="GG106" s="522"/>
      <c r="GH106" s="514"/>
      <c r="GI106" s="629">
        <f t="shared" si="243"/>
        <v>361067.55119000003</v>
      </c>
      <c r="GJ106" s="595">
        <f t="shared" si="244"/>
        <v>0.79942122121681358</v>
      </c>
      <c r="GK106" s="629">
        <f>GK113+GK120+GK129+GK132+GK136</f>
        <v>361067.55119000003</v>
      </c>
      <c r="GL106" s="595">
        <f t="shared" si="245"/>
        <v>0.79942122121681358</v>
      </c>
      <c r="GM106" s="629"/>
      <c r="GN106" s="595"/>
      <c r="GO106" s="629"/>
      <c r="GP106" s="595"/>
      <c r="GQ106" s="106"/>
      <c r="GR106" s="106"/>
      <c r="GS106" s="106"/>
      <c r="GT106" s="106"/>
      <c r="GU106" s="106">
        <f>GV106</f>
        <v>459753</v>
      </c>
      <c r="GV106" s="106">
        <f>GV110+GV113+GV120+GV129+GV132+GV136</f>
        <v>459753</v>
      </c>
      <c r="GW106" s="106"/>
      <c r="GX106" s="106"/>
      <c r="GY106" s="106"/>
      <c r="GZ106" s="106"/>
      <c r="HA106" s="106"/>
      <c r="HB106" s="106"/>
      <c r="HC106" s="106"/>
      <c r="HD106" s="106"/>
      <c r="HE106" s="106"/>
      <c r="HF106" s="106"/>
      <c r="HG106" s="106">
        <f>HH106</f>
        <v>0</v>
      </c>
      <c r="HH106" s="106">
        <f>HH113+HH120+HH129+HH132+HH136</f>
        <v>0</v>
      </c>
      <c r="HI106" s="106"/>
      <c r="HJ106" s="106"/>
      <c r="HK106" s="106" t="e">
        <f>HL106</f>
        <v>#REF!</v>
      </c>
      <c r="HL106" s="106" t="e">
        <f>HL110+HL113+HL120+HL129+HL132+HL136</f>
        <v>#REF!</v>
      </c>
      <c r="HM106" s="106"/>
      <c r="HN106" s="106"/>
      <c r="HO106" s="106">
        <f>HP106</f>
        <v>459753</v>
      </c>
      <c r="HP106" s="106">
        <f>HP110+HP113+HP120+HP129+HP132+HP136</f>
        <v>459753</v>
      </c>
      <c r="HQ106" s="106"/>
      <c r="HR106" s="106"/>
      <c r="HS106" s="106">
        <f>HT106</f>
        <v>477600</v>
      </c>
      <c r="HT106" s="106">
        <f>HT110+HT113+HT120+HT129+HT132+HT136</f>
        <v>477600</v>
      </c>
      <c r="HU106" s="106"/>
      <c r="HV106" s="106"/>
      <c r="HW106" s="106">
        <f>HX106</f>
        <v>0</v>
      </c>
      <c r="HX106" s="106">
        <f>HX110+HX113+HX120+HX129+HX132+HX136</f>
        <v>0</v>
      </c>
      <c r="HY106" s="106"/>
      <c r="HZ106" s="106"/>
      <c r="IA106" s="106">
        <f>IB106</f>
        <v>477600</v>
      </c>
      <c r="IB106" s="106">
        <f>IB110+IB113+IB120+IB129+IB132+IB136</f>
        <v>477600</v>
      </c>
      <c r="IC106" s="106"/>
      <c r="ID106" s="106"/>
      <c r="IE106" s="112"/>
      <c r="IF106" s="113"/>
      <c r="IG106" s="113"/>
      <c r="IH106" s="113"/>
    </row>
    <row r="107" spans="2:249" s="127" customFormat="1" ht="46.5" customHeight="1" x14ac:dyDescent="0.25">
      <c r="B107" s="115"/>
      <c r="C107" s="116" t="s">
        <v>132</v>
      </c>
      <c r="D107" s="117"/>
      <c r="E107" s="118"/>
      <c r="F107" s="118"/>
      <c r="G107" s="118"/>
      <c r="H107" s="118"/>
      <c r="I107" s="118"/>
      <c r="J107" s="118"/>
      <c r="K107" s="118"/>
      <c r="L107" s="118"/>
      <c r="M107" s="118"/>
      <c r="N107" s="118"/>
      <c r="O107" s="118"/>
      <c r="P107" s="118"/>
      <c r="Q107" s="119"/>
      <c r="R107" s="119"/>
      <c r="S107" s="119"/>
      <c r="T107" s="119"/>
      <c r="U107" s="119"/>
      <c r="V107" s="119"/>
      <c r="W107" s="119"/>
      <c r="X107" s="119"/>
      <c r="Y107" s="119"/>
      <c r="Z107" s="119"/>
      <c r="AA107" s="119"/>
      <c r="AB107" s="119"/>
      <c r="AC107" s="119"/>
      <c r="AD107" s="119"/>
      <c r="AE107" s="119"/>
      <c r="AF107" s="119"/>
      <c r="AG107" s="119"/>
      <c r="AH107" s="119"/>
      <c r="AI107" s="120"/>
      <c r="AJ107" s="119"/>
      <c r="AK107" s="119"/>
      <c r="AL107" s="119"/>
      <c r="AM107" s="121"/>
      <c r="AN107" s="119"/>
      <c r="AO107" s="122"/>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23"/>
      <c r="BL107" s="124"/>
      <c r="BM107" s="124"/>
      <c r="BN107" s="124"/>
      <c r="BO107" s="124"/>
      <c r="BP107" s="124"/>
      <c r="BQ107" s="124"/>
      <c r="BR107" s="124"/>
      <c r="BS107" s="124"/>
      <c r="BT107" s="124"/>
      <c r="BU107" s="124"/>
      <c r="BV107" s="119"/>
      <c r="BW107" s="119"/>
      <c r="BX107" s="119"/>
      <c r="BY107" s="119"/>
      <c r="BZ107" s="119"/>
      <c r="CA107" s="119"/>
      <c r="CB107" s="119"/>
      <c r="CC107" s="119"/>
      <c r="CD107" s="119"/>
      <c r="CE107" s="124"/>
      <c r="CF107" s="124"/>
      <c r="CG107" s="119"/>
      <c r="CH107" s="119"/>
      <c r="CI107" s="119"/>
      <c r="CJ107" s="119"/>
      <c r="CK107" s="119"/>
      <c r="CL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c r="EC107" s="119"/>
      <c r="ED107" s="119"/>
      <c r="EE107" s="119"/>
      <c r="EF107" s="119"/>
      <c r="EG107" s="119">
        <f>EH107</f>
        <v>426500</v>
      </c>
      <c r="EH107" s="119">
        <f>EH124</f>
        <v>426500</v>
      </c>
      <c r="EI107" s="119"/>
      <c r="EJ107" s="119"/>
      <c r="EK107" s="119">
        <f>EL107</f>
        <v>0</v>
      </c>
      <c r="EL107" s="119">
        <f>EL124</f>
        <v>0</v>
      </c>
      <c r="EM107" s="119"/>
      <c r="EN107" s="119"/>
      <c r="EO107" s="119"/>
      <c r="EP107" s="119"/>
      <c r="EQ107" s="119"/>
      <c r="ER107" s="119"/>
      <c r="ES107" s="119">
        <f>ET107</f>
        <v>0</v>
      </c>
      <c r="ET107" s="119">
        <f>ET124</f>
        <v>0</v>
      </c>
      <c r="EU107" s="119"/>
      <c r="EV107" s="119"/>
      <c r="EW107" s="119"/>
      <c r="EX107" s="119"/>
      <c r="EY107" s="119"/>
      <c r="EZ107" s="119"/>
      <c r="FA107" s="119"/>
      <c r="FB107" s="119"/>
      <c r="FC107" s="118">
        <f t="shared" si="246"/>
        <v>426500</v>
      </c>
      <c r="FD107" s="118">
        <f>FD124</f>
        <v>426500</v>
      </c>
      <c r="FE107" s="118"/>
      <c r="FF107" s="118"/>
      <c r="FG107" s="118">
        <f>FH107</f>
        <v>0</v>
      </c>
      <c r="FH107" s="118">
        <f>FH124</f>
        <v>0</v>
      </c>
      <c r="FI107" s="118"/>
      <c r="FJ107" s="118"/>
      <c r="FK107" s="118"/>
      <c r="FL107" s="118"/>
      <c r="FM107" s="118"/>
      <c r="FN107" s="118"/>
      <c r="FO107" s="118">
        <f>FP107</f>
        <v>426500</v>
      </c>
      <c r="FP107" s="118">
        <f>FP124</f>
        <v>426500</v>
      </c>
      <c r="FQ107" s="118"/>
      <c r="FR107" s="118"/>
      <c r="FS107" s="74">
        <f t="shared" si="195"/>
        <v>112602.09874</v>
      </c>
      <c r="FT107" s="487">
        <f t="shared" si="241"/>
        <v>0.26401429950762018</v>
      </c>
      <c r="FU107" s="118">
        <f>FU124</f>
        <v>112602.09874</v>
      </c>
      <c r="FV107" s="487">
        <f t="shared" si="242"/>
        <v>0.26401429950762018</v>
      </c>
      <c r="FW107" s="73"/>
      <c r="FX107" s="662"/>
      <c r="FY107" s="118"/>
      <c r="FZ107" s="662"/>
      <c r="GA107" s="118">
        <f t="shared" si="247"/>
        <v>171696.63532</v>
      </c>
      <c r="GB107" s="487">
        <f t="shared" si="248"/>
        <v>0.40257124342321221</v>
      </c>
      <c r="GC107" s="118">
        <f>GC124</f>
        <v>171696.63532</v>
      </c>
      <c r="GD107" s="487">
        <f t="shared" si="249"/>
        <v>0.40257124342321221</v>
      </c>
      <c r="GE107" s="73"/>
      <c r="GF107" s="513"/>
      <c r="GG107" s="73"/>
      <c r="GH107" s="513"/>
      <c r="GI107" s="74">
        <f t="shared" si="243"/>
        <v>426500</v>
      </c>
      <c r="GJ107" s="487">
        <f t="shared" si="244"/>
        <v>1</v>
      </c>
      <c r="GK107" s="74">
        <f>GK124</f>
        <v>426500</v>
      </c>
      <c r="GL107" s="487">
        <f t="shared" si="245"/>
        <v>1</v>
      </c>
      <c r="GM107" s="74"/>
      <c r="GN107" s="487"/>
      <c r="GO107" s="74"/>
      <c r="GP107" s="487"/>
      <c r="GQ107" s="119"/>
      <c r="GR107" s="119"/>
      <c r="GS107" s="119"/>
      <c r="GT107" s="119"/>
      <c r="GU107" s="119">
        <f>GV107</f>
        <v>627000</v>
      </c>
      <c r="GV107" s="119">
        <f>GV124</f>
        <v>627000</v>
      </c>
      <c r="GW107" s="119"/>
      <c r="GX107" s="119"/>
      <c r="GY107" s="119"/>
      <c r="GZ107" s="119"/>
      <c r="HA107" s="119"/>
      <c r="HB107" s="119"/>
      <c r="HC107" s="119"/>
      <c r="HD107" s="119"/>
      <c r="HE107" s="119"/>
      <c r="HF107" s="119"/>
      <c r="HG107" s="119">
        <f>HH107</f>
        <v>-127000</v>
      </c>
      <c r="HH107" s="119">
        <f>HH124</f>
        <v>-127000</v>
      </c>
      <c r="HI107" s="119"/>
      <c r="HJ107" s="119"/>
      <c r="HK107" s="124">
        <f>HL107</f>
        <v>0</v>
      </c>
      <c r="HL107" s="119">
        <f>HL124</f>
        <v>0</v>
      </c>
      <c r="HM107" s="119"/>
      <c r="HN107" s="119"/>
      <c r="HO107" s="119">
        <f>HP107</f>
        <v>500000</v>
      </c>
      <c r="HP107" s="119">
        <f>HP124</f>
        <v>500000</v>
      </c>
      <c r="HQ107" s="119"/>
      <c r="HR107" s="119"/>
      <c r="HS107" s="119">
        <f>HT107</f>
        <v>0</v>
      </c>
      <c r="HT107" s="119">
        <f>HT124</f>
        <v>0</v>
      </c>
      <c r="HU107" s="119"/>
      <c r="HV107" s="119"/>
      <c r="HW107" s="119">
        <f>HX107</f>
        <v>423500</v>
      </c>
      <c r="HX107" s="119">
        <f>IB107-HT107</f>
        <v>423500</v>
      </c>
      <c r="HY107" s="119"/>
      <c r="HZ107" s="119"/>
      <c r="IA107" s="119">
        <f>IB107</f>
        <v>423500</v>
      </c>
      <c r="IB107" s="119">
        <f>IB124</f>
        <v>423500</v>
      </c>
      <c r="IC107" s="119"/>
      <c r="ID107" s="119"/>
      <c r="IE107" s="125"/>
      <c r="IF107" s="126"/>
      <c r="IG107" s="126"/>
      <c r="IH107" s="126"/>
    </row>
    <row r="108" spans="2:249" s="127" customFormat="1" ht="68.25" hidden="1" customHeight="1" x14ac:dyDescent="0.25">
      <c r="B108" s="115"/>
      <c r="C108" s="740" t="s">
        <v>477</v>
      </c>
      <c r="D108" s="741"/>
      <c r="E108" s="118"/>
      <c r="F108" s="118"/>
      <c r="G108" s="118"/>
      <c r="H108" s="118"/>
      <c r="I108" s="118"/>
      <c r="J108" s="118"/>
      <c r="K108" s="118"/>
      <c r="L108" s="118"/>
      <c r="M108" s="118"/>
      <c r="N108" s="118"/>
      <c r="O108" s="118"/>
      <c r="P108" s="118"/>
      <c r="Q108" s="119"/>
      <c r="R108" s="119"/>
      <c r="S108" s="119"/>
      <c r="T108" s="119"/>
      <c r="U108" s="119"/>
      <c r="V108" s="119"/>
      <c r="W108" s="119"/>
      <c r="X108" s="119"/>
      <c r="Y108" s="119"/>
      <c r="Z108" s="119"/>
      <c r="AA108" s="119"/>
      <c r="AB108" s="119"/>
      <c r="AC108" s="119"/>
      <c r="AD108" s="119"/>
      <c r="AE108" s="119"/>
      <c r="AF108" s="119"/>
      <c r="AG108" s="119"/>
      <c r="AH108" s="119"/>
      <c r="AI108" s="120"/>
      <c r="AJ108" s="119"/>
      <c r="AK108" s="119"/>
      <c r="AL108" s="119"/>
      <c r="AM108" s="121"/>
      <c r="AN108" s="119"/>
      <c r="AO108" s="122"/>
      <c r="AP108" s="119"/>
      <c r="AQ108" s="119"/>
      <c r="AR108" s="119"/>
      <c r="AS108" s="119"/>
      <c r="AT108" s="119"/>
      <c r="AU108" s="119"/>
      <c r="AV108" s="119"/>
      <c r="AW108" s="119"/>
      <c r="AX108" s="119"/>
      <c r="AY108" s="119"/>
      <c r="AZ108" s="119"/>
      <c r="BA108" s="119"/>
      <c r="BB108" s="119"/>
      <c r="BC108" s="119"/>
      <c r="BD108" s="119"/>
      <c r="BE108" s="119"/>
      <c r="BF108" s="119"/>
      <c r="BG108" s="119"/>
      <c r="BH108" s="119"/>
      <c r="BI108" s="119"/>
      <c r="BJ108" s="119"/>
      <c r="BK108" s="123"/>
      <c r="BL108" s="124"/>
      <c r="BM108" s="124"/>
      <c r="BN108" s="124"/>
      <c r="BO108" s="124"/>
      <c r="BP108" s="124"/>
      <c r="BQ108" s="124"/>
      <c r="BR108" s="124"/>
      <c r="BS108" s="124"/>
      <c r="BT108" s="124"/>
      <c r="BU108" s="124"/>
      <c r="BV108" s="119"/>
      <c r="BW108" s="119"/>
      <c r="BX108" s="119"/>
      <c r="BY108" s="119"/>
      <c r="BZ108" s="119"/>
      <c r="CA108" s="119"/>
      <c r="CB108" s="119"/>
      <c r="CC108" s="119"/>
      <c r="CD108" s="119"/>
      <c r="CE108" s="124"/>
      <c r="CF108" s="124"/>
      <c r="CG108" s="119"/>
      <c r="CH108" s="119"/>
      <c r="CI108" s="119"/>
      <c r="CJ108" s="119"/>
      <c r="CK108" s="119"/>
      <c r="CL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c r="EC108" s="119"/>
      <c r="ED108" s="119"/>
      <c r="EE108" s="119"/>
      <c r="EF108" s="119"/>
      <c r="EG108" s="119"/>
      <c r="EH108" s="119"/>
      <c r="EI108" s="119"/>
      <c r="EJ108" s="119"/>
      <c r="EK108" s="119"/>
      <c r="EL108" s="119"/>
      <c r="EM108" s="119"/>
      <c r="EN108" s="119"/>
      <c r="EO108" s="119"/>
      <c r="EP108" s="119"/>
      <c r="EQ108" s="119"/>
      <c r="ER108" s="119"/>
      <c r="ES108" s="119"/>
      <c r="ET108" s="119"/>
      <c r="EU108" s="119"/>
      <c r="EV108" s="119"/>
      <c r="EW108" s="119"/>
      <c r="EX108" s="119"/>
      <c r="EY108" s="119"/>
      <c r="EZ108" s="119"/>
      <c r="FA108" s="119"/>
      <c r="FB108" s="119"/>
      <c r="FC108" s="118"/>
      <c r="FD108" s="118"/>
      <c r="FE108" s="118"/>
      <c r="FF108" s="118"/>
      <c r="FG108" s="118"/>
      <c r="FH108" s="118"/>
      <c r="FI108" s="118"/>
      <c r="FJ108" s="118"/>
      <c r="FK108" s="118"/>
      <c r="FL108" s="118"/>
      <c r="FM108" s="118"/>
      <c r="FN108" s="118"/>
      <c r="FO108" s="118"/>
      <c r="FP108" s="118"/>
      <c r="FQ108" s="118"/>
      <c r="FR108" s="118"/>
      <c r="FS108" s="530">
        <f>FU108</f>
        <v>11260.209870000001</v>
      </c>
      <c r="FT108" s="531">
        <v>0</v>
      </c>
      <c r="FU108" s="530">
        <f>FU128</f>
        <v>11260.209870000001</v>
      </c>
      <c r="FV108" s="531">
        <v>0</v>
      </c>
      <c r="FW108" s="73"/>
      <c r="FX108" s="662"/>
      <c r="FY108" s="118"/>
      <c r="FZ108" s="662"/>
      <c r="GA108" s="118"/>
      <c r="GB108" s="487"/>
      <c r="GC108" s="118"/>
      <c r="GD108" s="487"/>
      <c r="GE108" s="73"/>
      <c r="GF108" s="513"/>
      <c r="GG108" s="73"/>
      <c r="GH108" s="513"/>
      <c r="GI108" s="74"/>
      <c r="GJ108" s="487"/>
      <c r="GK108" s="74"/>
      <c r="GL108" s="487"/>
      <c r="GM108" s="74"/>
      <c r="GN108" s="487"/>
      <c r="GO108" s="74"/>
      <c r="GP108" s="487"/>
      <c r="GQ108" s="119"/>
      <c r="GR108" s="119"/>
      <c r="GS108" s="119"/>
      <c r="GT108" s="119"/>
      <c r="GU108" s="119"/>
      <c r="GV108" s="119"/>
      <c r="GW108" s="119"/>
      <c r="GX108" s="119"/>
      <c r="GY108" s="119"/>
      <c r="GZ108" s="119"/>
      <c r="HA108" s="119"/>
      <c r="HB108" s="119"/>
      <c r="HC108" s="119"/>
      <c r="HD108" s="119"/>
      <c r="HE108" s="119"/>
      <c r="HF108" s="119"/>
      <c r="HG108" s="119"/>
      <c r="HH108" s="119"/>
      <c r="HI108" s="119"/>
      <c r="HJ108" s="119"/>
      <c r="HK108" s="124"/>
      <c r="HL108" s="119"/>
      <c r="HM108" s="119"/>
      <c r="HN108" s="119"/>
      <c r="HO108" s="119"/>
      <c r="HP108" s="119"/>
      <c r="HQ108" s="119"/>
      <c r="HR108" s="119"/>
      <c r="HS108" s="119"/>
      <c r="HT108" s="119"/>
      <c r="HU108" s="119"/>
      <c r="HV108" s="119"/>
      <c r="HW108" s="119"/>
      <c r="HX108" s="119"/>
      <c r="HY108" s="119"/>
      <c r="HZ108" s="119"/>
      <c r="IA108" s="119"/>
      <c r="IB108" s="119"/>
      <c r="IC108" s="119"/>
      <c r="ID108" s="119"/>
      <c r="IE108" s="125"/>
      <c r="IF108" s="126"/>
      <c r="IG108" s="126"/>
      <c r="IH108" s="126"/>
    </row>
    <row r="109" spans="2:249" s="209" customFormat="1" ht="24.75" customHeight="1" x14ac:dyDescent="0.25">
      <c r="B109" s="178"/>
      <c r="C109" s="206" t="s">
        <v>139</v>
      </c>
      <c r="D109" s="179"/>
      <c r="E109" s="163"/>
      <c r="F109" s="180"/>
      <c r="G109" s="180"/>
      <c r="H109" s="163"/>
      <c r="I109" s="180"/>
      <c r="J109" s="180"/>
      <c r="K109" s="163"/>
      <c r="L109" s="180"/>
      <c r="M109" s="180"/>
      <c r="N109" s="163"/>
      <c r="O109" s="180"/>
      <c r="P109" s="180"/>
      <c r="Q109" s="164"/>
      <c r="R109" s="181"/>
      <c r="S109" s="181"/>
      <c r="T109" s="164"/>
      <c r="U109" s="181"/>
      <c r="V109" s="181"/>
      <c r="W109" s="164"/>
      <c r="X109" s="181"/>
      <c r="Y109" s="181"/>
      <c r="Z109" s="164"/>
      <c r="AA109" s="181"/>
      <c r="AB109" s="181"/>
      <c r="AC109" s="164"/>
      <c r="AD109" s="181"/>
      <c r="AE109" s="181"/>
      <c r="AF109" s="164"/>
      <c r="AG109" s="181"/>
      <c r="AH109" s="181"/>
      <c r="AI109" s="181"/>
      <c r="AJ109" s="181"/>
      <c r="AK109" s="181"/>
      <c r="AL109" s="181"/>
      <c r="AM109" s="181"/>
      <c r="AN109" s="181"/>
      <c r="AO109" s="207"/>
      <c r="AP109" s="181"/>
      <c r="AQ109" s="181"/>
      <c r="AR109" s="181"/>
      <c r="AS109" s="164"/>
      <c r="AT109" s="181"/>
      <c r="AU109" s="181"/>
      <c r="AV109" s="164"/>
      <c r="AW109" s="181"/>
      <c r="AX109" s="181"/>
      <c r="AY109" s="164"/>
      <c r="AZ109" s="181"/>
      <c r="BA109" s="181"/>
      <c r="BB109" s="164"/>
      <c r="BC109" s="181"/>
      <c r="BD109" s="181"/>
      <c r="BE109" s="164"/>
      <c r="BF109" s="181"/>
      <c r="BG109" s="181"/>
      <c r="BH109" s="164"/>
      <c r="BI109" s="181"/>
      <c r="BJ109" s="181"/>
      <c r="BK109" s="208"/>
      <c r="BL109" s="181"/>
      <c r="BM109" s="181"/>
      <c r="BN109" s="181"/>
      <c r="BO109" s="181"/>
      <c r="BP109" s="181"/>
      <c r="BQ109" s="181"/>
      <c r="BR109" s="181"/>
      <c r="BS109" s="181"/>
      <c r="BT109" s="181"/>
      <c r="BU109" s="181"/>
      <c r="BV109" s="164"/>
      <c r="BW109" s="181"/>
      <c r="BX109" s="181"/>
      <c r="BY109" s="164"/>
      <c r="BZ109" s="181"/>
      <c r="CA109" s="181"/>
      <c r="CB109" s="164"/>
      <c r="CC109" s="181"/>
      <c r="CD109" s="181"/>
      <c r="CE109" s="181"/>
      <c r="CF109" s="181"/>
      <c r="CG109" s="164"/>
      <c r="CH109" s="164"/>
      <c r="CI109" s="181"/>
      <c r="CJ109" s="181"/>
      <c r="CK109" s="164"/>
      <c r="CL109" s="181"/>
      <c r="CM109" s="181"/>
      <c r="CN109" s="181"/>
      <c r="CO109" s="181"/>
      <c r="CP109" s="181"/>
      <c r="CQ109" s="164"/>
      <c r="CR109" s="181"/>
      <c r="CS109" s="181"/>
      <c r="CT109" s="164"/>
      <c r="CU109" s="181"/>
      <c r="CV109" s="181"/>
      <c r="CW109" s="164"/>
      <c r="CX109" s="181"/>
      <c r="CY109" s="181"/>
      <c r="CZ109" s="164"/>
      <c r="DA109" s="181"/>
      <c r="DB109" s="181"/>
      <c r="DC109" s="181"/>
      <c r="DD109" s="181"/>
      <c r="DE109" s="181"/>
      <c r="DF109" s="164"/>
      <c r="DG109" s="181"/>
      <c r="DH109" s="181"/>
      <c r="DI109" s="164"/>
      <c r="DJ109" s="181"/>
      <c r="DK109" s="181"/>
      <c r="DL109" s="164"/>
      <c r="DM109" s="181"/>
      <c r="DN109" s="181"/>
      <c r="DO109" s="164"/>
      <c r="DP109" s="181"/>
      <c r="DQ109" s="181"/>
      <c r="DR109" s="164"/>
      <c r="DS109" s="181"/>
      <c r="DT109" s="181"/>
      <c r="DU109" s="164"/>
      <c r="DV109" s="181"/>
      <c r="DW109" s="181"/>
      <c r="DX109" s="164"/>
      <c r="DY109" s="181"/>
      <c r="DZ109" s="181"/>
      <c r="EA109" s="181"/>
      <c r="EB109" s="181"/>
      <c r="EC109" s="181"/>
      <c r="ED109" s="181"/>
      <c r="EE109" s="181"/>
      <c r="EF109" s="181"/>
      <c r="EG109" s="181"/>
      <c r="EH109" s="181"/>
      <c r="EI109" s="181"/>
      <c r="EJ109" s="181"/>
      <c r="EK109" s="164"/>
      <c r="EL109" s="181"/>
      <c r="EM109" s="181"/>
      <c r="EN109" s="181"/>
      <c r="EO109" s="164"/>
      <c r="EP109" s="181"/>
      <c r="EQ109" s="181"/>
      <c r="ER109" s="181"/>
      <c r="ES109" s="180"/>
      <c r="ET109" s="181"/>
      <c r="EU109" s="181"/>
      <c r="EV109" s="181"/>
      <c r="EW109" s="164"/>
      <c r="EX109" s="181"/>
      <c r="EY109" s="181"/>
      <c r="EZ109" s="181"/>
      <c r="FA109" s="181"/>
      <c r="FB109" s="181"/>
      <c r="FC109" s="180"/>
      <c r="FD109" s="180"/>
      <c r="FE109" s="180"/>
      <c r="FF109" s="180"/>
      <c r="FG109" s="163"/>
      <c r="FH109" s="180"/>
      <c r="FI109" s="180"/>
      <c r="FJ109" s="180"/>
      <c r="FK109" s="163"/>
      <c r="FL109" s="180"/>
      <c r="FM109" s="180"/>
      <c r="FN109" s="180"/>
      <c r="FO109" s="180"/>
      <c r="FP109" s="180"/>
      <c r="FQ109" s="180"/>
      <c r="FR109" s="180"/>
      <c r="FS109" s="39"/>
      <c r="FT109" s="485"/>
      <c r="FU109" s="39"/>
      <c r="FV109" s="485"/>
      <c r="FW109" s="38"/>
      <c r="FX109" s="660"/>
      <c r="FY109" s="39"/>
      <c r="FZ109" s="660"/>
      <c r="GA109" s="39"/>
      <c r="GB109" s="485"/>
      <c r="GC109" s="39"/>
      <c r="GD109" s="485"/>
      <c r="GE109" s="82"/>
      <c r="GF109" s="498"/>
      <c r="GG109" s="82"/>
      <c r="GH109" s="498"/>
      <c r="GI109" s="90"/>
      <c r="GJ109" s="485"/>
      <c r="GK109" s="90"/>
      <c r="GL109" s="485"/>
      <c r="GM109" s="90"/>
      <c r="GN109" s="485"/>
      <c r="GO109" s="90"/>
      <c r="GP109" s="485"/>
      <c r="GQ109" s="181"/>
      <c r="GR109" s="181"/>
      <c r="GS109" s="181"/>
      <c r="GT109" s="181"/>
      <c r="GU109" s="181"/>
      <c r="GV109" s="181"/>
      <c r="GW109" s="181"/>
      <c r="GX109" s="181"/>
      <c r="GY109" s="181"/>
      <c r="GZ109" s="181"/>
      <c r="HA109" s="181"/>
      <c r="HB109" s="181"/>
      <c r="HC109" s="181"/>
      <c r="HD109" s="181"/>
      <c r="HE109" s="181"/>
      <c r="HF109" s="181"/>
      <c r="HG109" s="181"/>
      <c r="HH109" s="181"/>
      <c r="HI109" s="181"/>
      <c r="HJ109" s="181"/>
      <c r="HK109" s="181"/>
      <c r="HL109" s="181"/>
      <c r="HM109" s="181"/>
      <c r="HN109" s="181"/>
      <c r="HO109" s="181"/>
      <c r="HP109" s="181"/>
      <c r="HQ109" s="181"/>
      <c r="HR109" s="181"/>
      <c r="HS109" s="181"/>
      <c r="HT109" s="181"/>
      <c r="HU109" s="181"/>
      <c r="HV109" s="181"/>
      <c r="HW109" s="181"/>
      <c r="HX109" s="181"/>
      <c r="HY109" s="181"/>
      <c r="HZ109" s="181"/>
      <c r="IA109" s="181"/>
      <c r="IB109" s="181"/>
      <c r="IC109" s="181"/>
      <c r="ID109" s="181"/>
      <c r="IE109" s="169"/>
      <c r="IF109" s="170"/>
      <c r="IG109" s="170"/>
      <c r="IH109" s="170"/>
      <c r="II109" s="129"/>
      <c r="IJ109" s="129"/>
      <c r="IK109" s="129"/>
      <c r="IL109" s="129"/>
      <c r="IM109" s="129"/>
      <c r="IN109" s="129"/>
      <c r="IO109" s="129"/>
    </row>
    <row r="110" spans="2:249" s="212" customFormat="1" ht="123" hidden="1" customHeight="1" x14ac:dyDescent="0.25">
      <c r="B110" s="178" t="s">
        <v>193</v>
      </c>
      <c r="C110" s="206" t="s">
        <v>194</v>
      </c>
      <c r="D110" s="179" t="s">
        <v>195</v>
      </c>
      <c r="E110" s="180">
        <f t="shared" ref="E110:E122" si="255">F110+G110</f>
        <v>0</v>
      </c>
      <c r="F110" s="210">
        <f>SUM(F111:F112)</f>
        <v>0</v>
      </c>
      <c r="G110" s="210"/>
      <c r="H110" s="180">
        <f t="shared" ref="H110:H122" si="256">I110+J110</f>
        <v>0</v>
      </c>
      <c r="I110" s="210">
        <f>SUM(I111:I112)</f>
        <v>0</v>
      </c>
      <c r="J110" s="210"/>
      <c r="K110" s="180">
        <f t="shared" ref="K110:K122" si="257">L110+M110</f>
        <v>0</v>
      </c>
      <c r="L110" s="210">
        <f>SUM(L111:L112)</f>
        <v>0</v>
      </c>
      <c r="M110" s="210"/>
      <c r="N110" s="180">
        <f t="shared" ref="N110:N122" si="258">O110+P110</f>
        <v>0</v>
      </c>
      <c r="O110" s="210">
        <f>SUM(O111:O112)</f>
        <v>0</v>
      </c>
      <c r="P110" s="210"/>
      <c r="Q110" s="181">
        <f t="shared" ref="Q110:Q122" si="259">R110+S110</f>
        <v>0</v>
      </c>
      <c r="R110" s="182">
        <f>SUM(R111:R112)</f>
        <v>0</v>
      </c>
      <c r="S110" s="182"/>
      <c r="T110" s="181">
        <f t="shared" ref="T110:T122" si="260">U110+V110</f>
        <v>0</v>
      </c>
      <c r="U110" s="182">
        <f>SUM(U111:U112)</f>
        <v>0</v>
      </c>
      <c r="V110" s="182"/>
      <c r="W110" s="181">
        <f t="shared" ref="W110:W122" si="261">X110+Y110</f>
        <v>0</v>
      </c>
      <c r="X110" s="182">
        <f>SUM(X111:X112)</f>
        <v>0</v>
      </c>
      <c r="Y110" s="182"/>
      <c r="Z110" s="181">
        <f t="shared" ref="Z110:Z122" si="262">AA110+AB110</f>
        <v>0</v>
      </c>
      <c r="AA110" s="182">
        <f t="shared" ref="AA110:AH110" si="263">SUM(AA111:AA112)</f>
        <v>0</v>
      </c>
      <c r="AB110" s="182">
        <f t="shared" si="263"/>
        <v>0</v>
      </c>
      <c r="AC110" s="182">
        <f t="shared" si="263"/>
        <v>0</v>
      </c>
      <c r="AD110" s="182">
        <f t="shared" si="263"/>
        <v>0</v>
      </c>
      <c r="AE110" s="182">
        <f t="shared" si="263"/>
        <v>0</v>
      </c>
      <c r="AF110" s="182">
        <f t="shared" si="263"/>
        <v>0</v>
      </c>
      <c r="AG110" s="182">
        <f t="shared" si="263"/>
        <v>0</v>
      </c>
      <c r="AH110" s="182">
        <f t="shared" si="263"/>
        <v>0</v>
      </c>
      <c r="AI110" s="182">
        <v>0</v>
      </c>
      <c r="AJ110" s="182">
        <f>SUM(AJ111:AJ112)</f>
        <v>0</v>
      </c>
      <c r="AK110" s="182">
        <f t="shared" ref="AK110:AL122" si="264">Z110-AJ110</f>
        <v>0</v>
      </c>
      <c r="AL110" s="182">
        <f t="shared" si="264"/>
        <v>0</v>
      </c>
      <c r="AM110" s="746" t="s">
        <v>196</v>
      </c>
      <c r="AN110" s="190" t="s">
        <v>196</v>
      </c>
      <c r="AO110" s="109">
        <v>1</v>
      </c>
      <c r="AP110" s="190"/>
      <c r="AQ110" s="190"/>
      <c r="AR110" s="190"/>
      <c r="AS110" s="181">
        <f t="shared" ref="AS110:AS122" si="265">AT110+AU110</f>
        <v>300</v>
      </c>
      <c r="AT110" s="182">
        <f>SUM(AT111:AT112)</f>
        <v>300</v>
      </c>
      <c r="AU110" s="182">
        <f>SUM(AU111:AU112)</f>
        <v>0</v>
      </c>
      <c r="AV110" s="181">
        <f t="shared" ref="AV110:AV122" si="266">AW110+AX110</f>
        <v>-200</v>
      </c>
      <c r="AW110" s="182">
        <f>SUM(AW111:AW112)</f>
        <v>-200</v>
      </c>
      <c r="AX110" s="182"/>
      <c r="AY110" s="181">
        <f t="shared" ref="AY110:AY122" si="267">AZ110+BA110</f>
        <v>100</v>
      </c>
      <c r="AZ110" s="182">
        <f>SUM(AZ111:AZ112)</f>
        <v>100</v>
      </c>
      <c r="BA110" s="182">
        <f>SUM(BA111:BA112)</f>
        <v>0</v>
      </c>
      <c r="BB110" s="181">
        <f t="shared" ref="BB110:BB122" si="268">BC110+BD110</f>
        <v>300</v>
      </c>
      <c r="BC110" s="182">
        <f>SUM(BC111:BC112)</f>
        <v>300</v>
      </c>
      <c r="BD110" s="182"/>
      <c r="BE110" s="181">
        <f t="shared" ref="BE110:BE122" si="269">BF110+BG110</f>
        <v>0</v>
      </c>
      <c r="BF110" s="182">
        <f>SUM(BF111:BF112)</f>
        <v>0</v>
      </c>
      <c r="BG110" s="182"/>
      <c r="BH110" s="181">
        <f t="shared" ref="BH110:BH122" si="270">BI110+BJ110</f>
        <v>100</v>
      </c>
      <c r="BI110" s="182">
        <f>SUM(BI111:BI112)</f>
        <v>100</v>
      </c>
      <c r="BJ110" s="182">
        <f>SUM(BJ111:BJ112)</f>
        <v>0</v>
      </c>
      <c r="BK110" s="110">
        <v>1</v>
      </c>
      <c r="BL110" s="106">
        <f t="shared" ref="BL110:BL122" si="271">AY110</f>
        <v>100</v>
      </c>
      <c r="BM110" s="106"/>
      <c r="BN110" s="106"/>
      <c r="BO110" s="106"/>
      <c r="BP110" s="106"/>
      <c r="BQ110" s="106"/>
      <c r="BR110" s="106"/>
      <c r="BS110" s="106">
        <f>BS111</f>
        <v>100</v>
      </c>
      <c r="BT110" s="106">
        <f>BT111</f>
        <v>100</v>
      </c>
      <c r="BU110" s="106">
        <f>BU111</f>
        <v>0</v>
      </c>
      <c r="BV110" s="181">
        <f t="shared" ref="BV110:BV122" si="272">BW110+BX110</f>
        <v>300</v>
      </c>
      <c r="BW110" s="182">
        <f>SUM(BW111:BW112)</f>
        <v>300</v>
      </c>
      <c r="BX110" s="182"/>
      <c r="BY110" s="181">
        <f t="shared" ref="BY110:BY122" si="273">BZ110+CA110</f>
        <v>0</v>
      </c>
      <c r="BZ110" s="182">
        <f>SUM(BZ111:BZ112)</f>
        <v>0</v>
      </c>
      <c r="CA110" s="182"/>
      <c r="CB110" s="181">
        <f t="shared" ref="CB110:CB122" si="274">CC110+CD110</f>
        <v>100</v>
      </c>
      <c r="CC110" s="182">
        <f>SUM(CC111:CC112)</f>
        <v>100</v>
      </c>
      <c r="CD110" s="182"/>
      <c r="CE110" s="106">
        <v>1</v>
      </c>
      <c r="CF110" s="106">
        <f t="shared" ref="CF110:CF122" si="275">CB110</f>
        <v>100</v>
      </c>
      <c r="CG110" s="195"/>
      <c r="CH110" s="181">
        <f t="shared" ref="CH110:CH122" si="276">CI110+CJ110</f>
        <v>8000</v>
      </c>
      <c r="CI110" s="182">
        <f>SUM(CI111:CI112)</f>
        <v>8000</v>
      </c>
      <c r="CJ110" s="182">
        <f>SUM(CJ111:CJ112)</f>
        <v>0</v>
      </c>
      <c r="CK110" s="181">
        <f t="shared" ref="CK110:CK122" si="277">CL110+CM110</f>
        <v>0</v>
      </c>
      <c r="CL110" s="182">
        <f>SUM(CL111:CL112)</f>
        <v>0</v>
      </c>
      <c r="CM110" s="182"/>
      <c r="CN110" s="182"/>
      <c r="CO110" s="182"/>
      <c r="CP110" s="182"/>
      <c r="CQ110" s="181">
        <f t="shared" ref="CQ110:CQ122" si="278">CR110+CS110</f>
        <v>8000</v>
      </c>
      <c r="CR110" s="182">
        <f>SUM(CR111:CR112)</f>
        <v>8000</v>
      </c>
      <c r="CS110" s="182">
        <f>SUM(CS111:CS112)</f>
        <v>0</v>
      </c>
      <c r="CT110" s="181">
        <f t="shared" ref="CT110:CT122" si="279">CU110+CV110</f>
        <v>0</v>
      </c>
      <c r="CU110" s="182"/>
      <c r="CV110" s="182"/>
      <c r="CW110" s="181">
        <f t="shared" ref="CW110:CW127" si="280">CX110+CY110</f>
        <v>0</v>
      </c>
      <c r="CX110" s="182">
        <f>SUM(CX111:CX112)</f>
        <v>0</v>
      </c>
      <c r="CY110" s="182"/>
      <c r="CZ110" s="181">
        <f t="shared" ref="CZ110:CZ122" si="281">DA110+DB110</f>
        <v>100</v>
      </c>
      <c r="DA110" s="182">
        <f>SUM(DA111:DA112)</f>
        <v>100</v>
      </c>
      <c r="DB110" s="182">
        <f>SUM(DB111:DB112)</f>
        <v>0</v>
      </c>
      <c r="DC110" s="182"/>
      <c r="DD110" s="182"/>
      <c r="DE110" s="182"/>
      <c r="DF110" s="181">
        <f t="shared" ref="DF110:DF130" si="282">DG110+DH110</f>
        <v>0</v>
      </c>
      <c r="DG110" s="182">
        <f>SUM(DG111:DG112)</f>
        <v>0</v>
      </c>
      <c r="DH110" s="182"/>
      <c r="DI110" s="181">
        <f t="shared" ref="DI110:DI164" si="283">DJ110+DK110</f>
        <v>0</v>
      </c>
      <c r="DJ110" s="182">
        <f>SUM(DJ111:DJ112)</f>
        <v>0</v>
      </c>
      <c r="DK110" s="182"/>
      <c r="DL110" s="181">
        <f t="shared" ref="DL110:DL130" si="284">DM110+DN110</f>
        <v>0</v>
      </c>
      <c r="DM110" s="182">
        <f>SUM(DM111:DM112)</f>
        <v>0</v>
      </c>
      <c r="DN110" s="182"/>
      <c r="DO110" s="181">
        <f t="shared" ref="DO110:DO130" si="285">DP110+DQ110</f>
        <v>0</v>
      </c>
      <c r="DP110" s="182">
        <f>SUM(DP111:DP112)</f>
        <v>0</v>
      </c>
      <c r="DQ110" s="182"/>
      <c r="DR110" s="181">
        <f t="shared" ref="DR110:DR130" si="286">DS110+DT110</f>
        <v>0</v>
      </c>
      <c r="DS110" s="182">
        <f>SUM(DS111:DS112)</f>
        <v>0</v>
      </c>
      <c r="DT110" s="182"/>
      <c r="DU110" s="181">
        <f t="shared" ref="DU110:DU122" si="287">DV110+DW110</f>
        <v>100</v>
      </c>
      <c r="DV110" s="182">
        <f>SUM(DV111:DV112)</f>
        <v>100</v>
      </c>
      <c r="DW110" s="182"/>
      <c r="DX110" s="181">
        <f t="shared" ref="DX110:DX122" si="288">DY110+DZ110</f>
        <v>100</v>
      </c>
      <c r="DY110" s="182">
        <f>SUM(DY111:DY112)</f>
        <v>100</v>
      </c>
      <c r="DZ110" s="182">
        <f>SUM(DZ111:DZ112)</f>
        <v>0</v>
      </c>
      <c r="EA110" s="182"/>
      <c r="EB110" s="182"/>
      <c r="EC110" s="182"/>
      <c r="ED110" s="182">
        <f>EE110</f>
        <v>-100</v>
      </c>
      <c r="EE110" s="182">
        <f>EE111</f>
        <v>-100</v>
      </c>
      <c r="EF110" s="182"/>
      <c r="EG110" s="106">
        <f>EH110</f>
        <v>0</v>
      </c>
      <c r="EH110" s="106">
        <f>EH111</f>
        <v>0</v>
      </c>
      <c r="EI110" s="106"/>
      <c r="EJ110" s="182"/>
      <c r="EK110" s="181">
        <f t="shared" ref="EK110:EK124" si="289">EL110+EN110</f>
        <v>0</v>
      </c>
      <c r="EL110" s="182">
        <f>SUM(EL111:EL112)</f>
        <v>0</v>
      </c>
      <c r="EM110" s="182"/>
      <c r="EN110" s="182"/>
      <c r="EO110" s="181">
        <f t="shared" ref="EO110:EO122" si="290">EP110+ER110</f>
        <v>0</v>
      </c>
      <c r="EP110" s="182">
        <f>SUM(EP111:EP112)</f>
        <v>0</v>
      </c>
      <c r="EQ110" s="182"/>
      <c r="ER110" s="182"/>
      <c r="ES110" s="106">
        <f>ET110+EV110</f>
        <v>0</v>
      </c>
      <c r="ET110" s="106">
        <f>ET111+ET112</f>
        <v>0</v>
      </c>
      <c r="EU110" s="182"/>
      <c r="EV110" s="182"/>
      <c r="EW110" s="181">
        <f t="shared" ref="EW110:EW122" si="291">EX110+EY110</f>
        <v>100</v>
      </c>
      <c r="EX110" s="182">
        <f>SUM(EX111:EX112)</f>
        <v>100</v>
      </c>
      <c r="EY110" s="182">
        <f>SUM(EY111:EY112)</f>
        <v>0</v>
      </c>
      <c r="EZ110" s="182">
        <f>FA110</f>
        <v>-100</v>
      </c>
      <c r="FA110" s="182">
        <f>FA111</f>
        <v>-100</v>
      </c>
      <c r="FB110" s="182"/>
      <c r="FC110" s="104">
        <f>FD110</f>
        <v>0</v>
      </c>
      <c r="FD110" s="104">
        <f>FD111</f>
        <v>0</v>
      </c>
      <c r="FE110" s="104"/>
      <c r="FF110" s="210"/>
      <c r="FG110" s="180">
        <f t="shared" ref="FG110:FG124" si="292">FH110+FJ110</f>
        <v>0</v>
      </c>
      <c r="FH110" s="210">
        <f>SUM(FH111:FH112)</f>
        <v>0</v>
      </c>
      <c r="FI110" s="210"/>
      <c r="FJ110" s="210"/>
      <c r="FK110" s="180">
        <f t="shared" ref="FK110:FK122" si="293">FL110+FN110</f>
        <v>0</v>
      </c>
      <c r="FL110" s="210">
        <f>SUM(FL111:FL112)</f>
        <v>0</v>
      </c>
      <c r="FM110" s="210"/>
      <c r="FN110" s="210"/>
      <c r="FO110" s="104">
        <f>FP110</f>
        <v>0</v>
      </c>
      <c r="FP110" s="104">
        <f>FP111</f>
        <v>0</v>
      </c>
      <c r="FQ110" s="104"/>
      <c r="FR110" s="210"/>
      <c r="FS110" s="39">
        <f t="shared" si="195"/>
        <v>0</v>
      </c>
      <c r="FT110" s="485" t="e">
        <f t="shared" si="241"/>
        <v>#DIV/0!</v>
      </c>
      <c r="FU110" s="39">
        <v>0</v>
      </c>
      <c r="FV110" s="485" t="e">
        <f t="shared" si="242"/>
        <v>#DIV/0!</v>
      </c>
      <c r="FW110" s="38"/>
      <c r="FX110" s="660"/>
      <c r="FY110" s="39"/>
      <c r="FZ110" s="660"/>
      <c r="GA110" s="39">
        <f t="shared" si="247"/>
        <v>0</v>
      </c>
      <c r="GB110" s="485" t="e">
        <f t="shared" si="248"/>
        <v>#DIV/0!</v>
      </c>
      <c r="GC110" s="39">
        <v>0</v>
      </c>
      <c r="GD110" s="485" t="e">
        <f t="shared" si="249"/>
        <v>#DIV/0!</v>
      </c>
      <c r="GE110" s="82"/>
      <c r="GF110" s="498"/>
      <c r="GG110" s="82"/>
      <c r="GH110" s="498"/>
      <c r="GI110" s="90" t="e">
        <f t="shared" si="243"/>
        <v>#REF!</v>
      </c>
      <c r="GJ110" s="485" t="e">
        <f t="shared" si="244"/>
        <v>#REF!</v>
      </c>
      <c r="GK110" s="90" t="e">
        <f>#REF!+GK408</f>
        <v>#REF!</v>
      </c>
      <c r="GL110" s="485" t="e">
        <f t="shared" si="245"/>
        <v>#REF!</v>
      </c>
      <c r="GM110" s="90" t="e">
        <f>#REF!+GM408</f>
        <v>#REF!</v>
      </c>
      <c r="GN110" s="485" t="e">
        <f>GM110/FE110</f>
        <v>#REF!</v>
      </c>
      <c r="GO110" s="90" t="e">
        <f>#REF!+GO408</f>
        <v>#REF!</v>
      </c>
      <c r="GP110" s="485" t="e">
        <f t="shared" ref="GP110:GP167" si="294">GO110/FF110</f>
        <v>#REF!</v>
      </c>
      <c r="GQ110" s="182"/>
      <c r="GR110" s="182"/>
      <c r="GS110" s="182"/>
      <c r="GT110" s="182"/>
      <c r="GU110" s="106">
        <f>GV110</f>
        <v>0</v>
      </c>
      <c r="GV110" s="106">
        <f>GV111</f>
        <v>0</v>
      </c>
      <c r="GW110" s="106"/>
      <c r="GX110" s="182"/>
      <c r="GY110" s="182"/>
      <c r="GZ110" s="182"/>
      <c r="HA110" s="182"/>
      <c r="HB110" s="182"/>
      <c r="HC110" s="182"/>
      <c r="HD110" s="182"/>
      <c r="HE110" s="182"/>
      <c r="HF110" s="182"/>
      <c r="HG110" s="106">
        <f>HH110</f>
        <v>0</v>
      </c>
      <c r="HH110" s="106">
        <f>HH111</f>
        <v>0</v>
      </c>
      <c r="HI110" s="106"/>
      <c r="HJ110" s="182"/>
      <c r="HK110" s="106">
        <f>HL110</f>
        <v>0</v>
      </c>
      <c r="HL110" s="106">
        <f>HL111</f>
        <v>0</v>
      </c>
      <c r="HM110" s="106"/>
      <c r="HN110" s="182"/>
      <c r="HO110" s="106">
        <f>HP110</f>
        <v>0</v>
      </c>
      <c r="HP110" s="106">
        <f>HP111</f>
        <v>0</v>
      </c>
      <c r="HQ110" s="106"/>
      <c r="HR110" s="182"/>
      <c r="HS110" s="106">
        <f>HT110</f>
        <v>23000</v>
      </c>
      <c r="HT110" s="106">
        <f>HT111</f>
        <v>23000</v>
      </c>
      <c r="HU110" s="106"/>
      <c r="HV110" s="182"/>
      <c r="HW110" s="106">
        <f>HX110</f>
        <v>0</v>
      </c>
      <c r="HX110" s="106">
        <f>HX111</f>
        <v>0</v>
      </c>
      <c r="HY110" s="106"/>
      <c r="HZ110" s="182"/>
      <c r="IA110" s="106">
        <f>IB110</f>
        <v>23000</v>
      </c>
      <c r="IB110" s="106">
        <f>IB111</f>
        <v>23000</v>
      </c>
      <c r="IC110" s="106"/>
      <c r="ID110" s="182"/>
      <c r="IE110" s="196" t="s">
        <v>197</v>
      </c>
      <c r="IF110" s="211"/>
      <c r="IG110" s="211"/>
      <c r="IH110" s="211"/>
    </row>
    <row r="111" spans="2:249" s="171" customFormat="1" ht="22.5" hidden="1" customHeight="1" x14ac:dyDescent="0.25">
      <c r="B111" s="160"/>
      <c r="C111" s="161" t="s">
        <v>146</v>
      </c>
      <c r="D111" s="162"/>
      <c r="E111" s="163">
        <f t="shared" si="255"/>
        <v>0</v>
      </c>
      <c r="F111" s="163"/>
      <c r="G111" s="163"/>
      <c r="H111" s="163">
        <f t="shared" si="256"/>
        <v>0</v>
      </c>
      <c r="I111" s="163">
        <f>L111-F111</f>
        <v>0</v>
      </c>
      <c r="J111" s="163"/>
      <c r="K111" s="163">
        <f t="shared" si="257"/>
        <v>0</v>
      </c>
      <c r="L111" s="163"/>
      <c r="M111" s="163"/>
      <c r="N111" s="163">
        <f t="shared" si="258"/>
        <v>0</v>
      </c>
      <c r="O111" s="163">
        <f>R111-L111</f>
        <v>0</v>
      </c>
      <c r="P111" s="163"/>
      <c r="Q111" s="164">
        <f t="shared" si="259"/>
        <v>0</v>
      </c>
      <c r="R111" s="164"/>
      <c r="S111" s="164"/>
      <c r="T111" s="164">
        <f t="shared" si="260"/>
        <v>0</v>
      </c>
      <c r="U111" s="164"/>
      <c r="V111" s="164"/>
      <c r="W111" s="164">
        <f t="shared" si="261"/>
        <v>0</v>
      </c>
      <c r="X111" s="164">
        <f>AA111-U111</f>
        <v>0</v>
      </c>
      <c r="Y111" s="164"/>
      <c r="Z111" s="164">
        <f t="shared" si="262"/>
        <v>0</v>
      </c>
      <c r="AA111" s="164"/>
      <c r="AB111" s="164"/>
      <c r="AC111" s="164">
        <f>AD111+AE111</f>
        <v>0</v>
      </c>
      <c r="AD111" s="164"/>
      <c r="AE111" s="164"/>
      <c r="AF111" s="164">
        <f>AG111+AH111</f>
        <v>0</v>
      </c>
      <c r="AG111" s="164"/>
      <c r="AH111" s="164"/>
      <c r="AI111" s="164"/>
      <c r="AJ111" s="164"/>
      <c r="AK111" s="165">
        <f t="shared" si="264"/>
        <v>0</v>
      </c>
      <c r="AL111" s="165">
        <f t="shared" si="264"/>
        <v>0</v>
      </c>
      <c r="AM111" s="746"/>
      <c r="AN111" s="174"/>
      <c r="AO111" s="166">
        <v>1</v>
      </c>
      <c r="AP111" s="174"/>
      <c r="AQ111" s="174"/>
      <c r="AR111" s="174"/>
      <c r="AS111" s="164">
        <f t="shared" si="265"/>
        <v>300</v>
      </c>
      <c r="AT111" s="164">
        <v>300</v>
      </c>
      <c r="AU111" s="164"/>
      <c r="AV111" s="164">
        <f t="shared" si="266"/>
        <v>-200</v>
      </c>
      <c r="AW111" s="164">
        <v>-200</v>
      </c>
      <c r="AX111" s="164"/>
      <c r="AY111" s="164">
        <f t="shared" si="267"/>
        <v>100</v>
      </c>
      <c r="AZ111" s="164">
        <f>AT111+AW111</f>
        <v>100</v>
      </c>
      <c r="BA111" s="164"/>
      <c r="BB111" s="164">
        <f t="shared" si="268"/>
        <v>300</v>
      </c>
      <c r="BC111" s="164">
        <v>300</v>
      </c>
      <c r="BD111" s="164"/>
      <c r="BE111" s="164">
        <f t="shared" si="269"/>
        <v>0</v>
      </c>
      <c r="BF111" s="164">
        <f>BW111-BC111</f>
        <v>0</v>
      </c>
      <c r="BG111" s="164"/>
      <c r="BH111" s="164">
        <f t="shared" si="270"/>
        <v>100</v>
      </c>
      <c r="BI111" s="164">
        <f>AZ111</f>
        <v>100</v>
      </c>
      <c r="BJ111" s="164"/>
      <c r="BK111" s="167">
        <v>1</v>
      </c>
      <c r="BL111" s="168">
        <f t="shared" si="271"/>
        <v>100</v>
      </c>
      <c r="BM111" s="168"/>
      <c r="BN111" s="168"/>
      <c r="BO111" s="168"/>
      <c r="BP111" s="168"/>
      <c r="BQ111" s="168"/>
      <c r="BR111" s="168"/>
      <c r="BS111" s="168">
        <f>BT111+BU111</f>
        <v>100</v>
      </c>
      <c r="BT111" s="168">
        <f>AZ111-BN111-BQ111</f>
        <v>100</v>
      </c>
      <c r="BU111" s="168"/>
      <c r="BV111" s="164">
        <f t="shared" si="272"/>
        <v>300</v>
      </c>
      <c r="BW111" s="164">
        <v>300</v>
      </c>
      <c r="BX111" s="164"/>
      <c r="BY111" s="164">
        <f t="shared" si="273"/>
        <v>0</v>
      </c>
      <c r="BZ111" s="164">
        <f>CC111-BI111</f>
        <v>0</v>
      </c>
      <c r="CA111" s="164"/>
      <c r="CB111" s="164">
        <f t="shared" si="274"/>
        <v>100</v>
      </c>
      <c r="CC111" s="164">
        <f>BI111</f>
        <v>100</v>
      </c>
      <c r="CD111" s="164"/>
      <c r="CE111" s="168">
        <v>1</v>
      </c>
      <c r="CF111" s="168">
        <f t="shared" si="275"/>
        <v>100</v>
      </c>
      <c r="CG111" s="164"/>
      <c r="CH111" s="164">
        <f t="shared" si="276"/>
        <v>8000</v>
      </c>
      <c r="CI111" s="164">
        <v>8000</v>
      </c>
      <c r="CJ111" s="164"/>
      <c r="CK111" s="164">
        <f t="shared" si="277"/>
        <v>0</v>
      </c>
      <c r="CL111" s="164">
        <f>CR111-CI111</f>
        <v>0</v>
      </c>
      <c r="CM111" s="164"/>
      <c r="CN111" s="164"/>
      <c r="CO111" s="164"/>
      <c r="CP111" s="164"/>
      <c r="CQ111" s="164">
        <f t="shared" si="278"/>
        <v>8000</v>
      </c>
      <c r="CR111" s="164">
        <v>8000</v>
      </c>
      <c r="CS111" s="164"/>
      <c r="CT111" s="164">
        <f t="shared" si="279"/>
        <v>0</v>
      </c>
      <c r="CU111" s="164"/>
      <c r="CV111" s="164"/>
      <c r="CW111" s="164">
        <f t="shared" si="280"/>
        <v>0</v>
      </c>
      <c r="CX111" s="164">
        <v>0</v>
      </c>
      <c r="CY111" s="164"/>
      <c r="CZ111" s="164">
        <f t="shared" si="281"/>
        <v>100</v>
      </c>
      <c r="DA111" s="164">
        <v>100</v>
      </c>
      <c r="DB111" s="164"/>
      <c r="DC111" s="164"/>
      <c r="DD111" s="164"/>
      <c r="DE111" s="164"/>
      <c r="DF111" s="164">
        <f t="shared" si="282"/>
        <v>0</v>
      </c>
      <c r="DG111" s="164">
        <f>DJ111-CX111</f>
        <v>0</v>
      </c>
      <c r="DH111" s="164"/>
      <c r="DI111" s="164">
        <f t="shared" si="283"/>
        <v>0</v>
      </c>
      <c r="DJ111" s="164">
        <f>CX111</f>
        <v>0</v>
      </c>
      <c r="DK111" s="164"/>
      <c r="DL111" s="164">
        <f t="shared" si="284"/>
        <v>0</v>
      </c>
      <c r="DM111" s="164">
        <f>DA111-100</f>
        <v>0</v>
      </c>
      <c r="DN111" s="164"/>
      <c r="DO111" s="164">
        <f t="shared" si="285"/>
        <v>0</v>
      </c>
      <c r="DP111" s="164">
        <v>0</v>
      </c>
      <c r="DQ111" s="164"/>
      <c r="DR111" s="164">
        <f t="shared" si="286"/>
        <v>0</v>
      </c>
      <c r="DS111" s="164">
        <f>DJ111-DM111-DP111</f>
        <v>0</v>
      </c>
      <c r="DT111" s="164"/>
      <c r="DU111" s="164">
        <f t="shared" si="287"/>
        <v>100</v>
      </c>
      <c r="DV111" s="164">
        <v>100</v>
      </c>
      <c r="DW111" s="164"/>
      <c r="DX111" s="164">
        <f t="shared" si="288"/>
        <v>100</v>
      </c>
      <c r="DY111" s="164">
        <v>100</v>
      </c>
      <c r="DZ111" s="164"/>
      <c r="EA111" s="164"/>
      <c r="EB111" s="164"/>
      <c r="EC111" s="164"/>
      <c r="ED111" s="164">
        <f>EE111</f>
        <v>-100</v>
      </c>
      <c r="EE111" s="164">
        <f>EH111-DV111</f>
        <v>-100</v>
      </c>
      <c r="EF111" s="164"/>
      <c r="EG111" s="164">
        <f>EH111</f>
        <v>0</v>
      </c>
      <c r="EH111" s="164">
        <v>0</v>
      </c>
      <c r="EI111" s="164"/>
      <c r="EJ111" s="164"/>
      <c r="EK111" s="164">
        <f t="shared" si="289"/>
        <v>0</v>
      </c>
      <c r="EL111" s="164">
        <f>ET111-EH111</f>
        <v>0</v>
      </c>
      <c r="EM111" s="164"/>
      <c r="EN111" s="164"/>
      <c r="EO111" s="164">
        <f t="shared" si="290"/>
        <v>0</v>
      </c>
      <c r="EP111" s="164"/>
      <c r="EQ111" s="164"/>
      <c r="ER111" s="164"/>
      <c r="ES111" s="106">
        <f>ET111+EV111</f>
        <v>0</v>
      </c>
      <c r="ET111" s="164">
        <v>0</v>
      </c>
      <c r="EU111" s="164"/>
      <c r="EV111" s="164"/>
      <c r="EW111" s="164">
        <f t="shared" si="291"/>
        <v>100</v>
      </c>
      <c r="EX111" s="164">
        <v>100</v>
      </c>
      <c r="EY111" s="164"/>
      <c r="EZ111" s="164">
        <f>FA111</f>
        <v>-100</v>
      </c>
      <c r="FA111" s="164">
        <f>FD111-EW111</f>
        <v>-100</v>
      </c>
      <c r="FB111" s="164"/>
      <c r="FC111" s="163">
        <f>FD111</f>
        <v>0</v>
      </c>
      <c r="FD111" s="163">
        <v>0</v>
      </c>
      <c r="FE111" s="163"/>
      <c r="FF111" s="163"/>
      <c r="FG111" s="163">
        <f t="shared" si="292"/>
        <v>0</v>
      </c>
      <c r="FH111" s="163">
        <f>FP111-FD111</f>
        <v>0</v>
      </c>
      <c r="FI111" s="163"/>
      <c r="FJ111" s="163"/>
      <c r="FK111" s="163">
        <f t="shared" si="293"/>
        <v>0</v>
      </c>
      <c r="FL111" s="163"/>
      <c r="FM111" s="163"/>
      <c r="FN111" s="163"/>
      <c r="FO111" s="163">
        <f>FP111</f>
        <v>0</v>
      </c>
      <c r="FP111" s="163">
        <v>0</v>
      </c>
      <c r="FQ111" s="163"/>
      <c r="FR111" s="163"/>
      <c r="FS111" s="39">
        <f t="shared" si="195"/>
        <v>0</v>
      </c>
      <c r="FT111" s="485" t="e">
        <f t="shared" si="241"/>
        <v>#DIV/0!</v>
      </c>
      <c r="FU111" s="39">
        <v>0</v>
      </c>
      <c r="FV111" s="485" t="e">
        <f t="shared" si="242"/>
        <v>#DIV/0!</v>
      </c>
      <c r="FW111" s="38"/>
      <c r="FX111" s="660"/>
      <c r="FY111" s="39"/>
      <c r="FZ111" s="660"/>
      <c r="GA111" s="39">
        <f t="shared" si="247"/>
        <v>0</v>
      </c>
      <c r="GB111" s="485" t="e">
        <f t="shared" si="248"/>
        <v>#DIV/0!</v>
      </c>
      <c r="GC111" s="39">
        <v>0</v>
      </c>
      <c r="GD111" s="485" t="e">
        <f t="shared" si="249"/>
        <v>#DIV/0!</v>
      </c>
      <c r="GE111" s="82"/>
      <c r="GF111" s="498"/>
      <c r="GG111" s="82"/>
      <c r="GH111" s="498"/>
      <c r="GI111" s="90" t="e">
        <f t="shared" si="243"/>
        <v>#REF!</v>
      </c>
      <c r="GJ111" s="485" t="e">
        <f t="shared" si="244"/>
        <v>#REF!</v>
      </c>
      <c r="GK111" s="90" t="e">
        <f>#REF!+GK409</f>
        <v>#REF!</v>
      </c>
      <c r="GL111" s="485" t="e">
        <f t="shared" si="245"/>
        <v>#REF!</v>
      </c>
      <c r="GM111" s="90" t="e">
        <f>#REF!+GM409</f>
        <v>#REF!</v>
      </c>
      <c r="GN111" s="485" t="e">
        <f>GM111/FE111</f>
        <v>#REF!</v>
      </c>
      <c r="GO111" s="90" t="e">
        <f>#REF!+GO409</f>
        <v>#REF!</v>
      </c>
      <c r="GP111" s="485" t="e">
        <f t="shared" si="294"/>
        <v>#REF!</v>
      </c>
      <c r="GQ111" s="164"/>
      <c r="GR111" s="164"/>
      <c r="GS111" s="164"/>
      <c r="GT111" s="164"/>
      <c r="GU111" s="164">
        <f>GV111</f>
        <v>0</v>
      </c>
      <c r="GV111" s="164">
        <v>0</v>
      </c>
      <c r="GW111" s="164"/>
      <c r="GX111" s="164"/>
      <c r="GY111" s="164"/>
      <c r="GZ111" s="164"/>
      <c r="HA111" s="164"/>
      <c r="HB111" s="164"/>
      <c r="HC111" s="164"/>
      <c r="HD111" s="164"/>
      <c r="HE111" s="164"/>
      <c r="HF111" s="164"/>
      <c r="HG111" s="164">
        <f>HH111</f>
        <v>0</v>
      </c>
      <c r="HH111" s="164">
        <f>HP111-GV111</f>
        <v>0</v>
      </c>
      <c r="HI111" s="164"/>
      <c r="HJ111" s="164"/>
      <c r="HK111" s="164">
        <f>HL111</f>
        <v>0</v>
      </c>
      <c r="HL111" s="164">
        <f>IF111-GZ111</f>
        <v>0</v>
      </c>
      <c r="HM111" s="164"/>
      <c r="HN111" s="164"/>
      <c r="HO111" s="164">
        <f>HP111</f>
        <v>0</v>
      </c>
      <c r="HP111" s="164">
        <v>0</v>
      </c>
      <c r="HQ111" s="164"/>
      <c r="HR111" s="164"/>
      <c r="HS111" s="164">
        <f>HT111</f>
        <v>23000</v>
      </c>
      <c r="HT111" s="164">
        <v>23000</v>
      </c>
      <c r="HU111" s="164"/>
      <c r="HV111" s="164"/>
      <c r="HW111" s="164">
        <f>HX111</f>
        <v>0</v>
      </c>
      <c r="HX111" s="164">
        <f>IR111-HL111</f>
        <v>0</v>
      </c>
      <c r="HY111" s="164"/>
      <c r="HZ111" s="164"/>
      <c r="IA111" s="164">
        <f>IB111</f>
        <v>23000</v>
      </c>
      <c r="IB111" s="164">
        <v>23000</v>
      </c>
      <c r="IC111" s="164"/>
      <c r="ID111" s="164"/>
      <c r="IE111" s="169"/>
      <c r="IF111" s="170"/>
      <c r="IG111" s="170"/>
      <c r="IH111" s="170"/>
    </row>
    <row r="112" spans="2:249" s="171" customFormat="1" ht="22.5" hidden="1" customHeight="1" x14ac:dyDescent="0.25">
      <c r="B112" s="160"/>
      <c r="C112" s="161" t="s">
        <v>148</v>
      </c>
      <c r="D112" s="162"/>
      <c r="E112" s="163">
        <f t="shared" si="255"/>
        <v>0</v>
      </c>
      <c r="F112" s="163"/>
      <c r="G112" s="163"/>
      <c r="H112" s="163">
        <f t="shared" si="256"/>
        <v>0</v>
      </c>
      <c r="I112" s="163">
        <f>L112-F112</f>
        <v>0</v>
      </c>
      <c r="J112" s="163"/>
      <c r="K112" s="163">
        <f t="shared" si="257"/>
        <v>0</v>
      </c>
      <c r="L112" s="163"/>
      <c r="M112" s="163"/>
      <c r="N112" s="163">
        <f t="shared" si="258"/>
        <v>0</v>
      </c>
      <c r="O112" s="163">
        <f>R112-L112</f>
        <v>0</v>
      </c>
      <c r="P112" s="163"/>
      <c r="Q112" s="164">
        <f t="shared" si="259"/>
        <v>0</v>
      </c>
      <c r="R112" s="164"/>
      <c r="S112" s="164"/>
      <c r="T112" s="164">
        <f t="shared" si="260"/>
        <v>0</v>
      </c>
      <c r="U112" s="164"/>
      <c r="V112" s="164"/>
      <c r="W112" s="164">
        <f t="shared" si="261"/>
        <v>0</v>
      </c>
      <c r="X112" s="164">
        <f>AA112-U112</f>
        <v>0</v>
      </c>
      <c r="Y112" s="164"/>
      <c r="Z112" s="164">
        <f t="shared" si="262"/>
        <v>0</v>
      </c>
      <c r="AA112" s="164"/>
      <c r="AB112" s="164"/>
      <c r="AC112" s="164">
        <f>AD112+AE112</f>
        <v>0</v>
      </c>
      <c r="AD112" s="164"/>
      <c r="AE112" s="164"/>
      <c r="AF112" s="164">
        <f>AG112+AH112</f>
        <v>0</v>
      </c>
      <c r="AG112" s="164"/>
      <c r="AH112" s="164"/>
      <c r="AI112" s="164"/>
      <c r="AJ112" s="164"/>
      <c r="AK112" s="165">
        <f t="shared" si="264"/>
        <v>0</v>
      </c>
      <c r="AL112" s="165">
        <f t="shared" si="264"/>
        <v>0</v>
      </c>
      <c r="AM112" s="746"/>
      <c r="AN112" s="174"/>
      <c r="AO112" s="166">
        <v>1</v>
      </c>
      <c r="AP112" s="174"/>
      <c r="AQ112" s="174"/>
      <c r="AR112" s="174"/>
      <c r="AS112" s="164">
        <f t="shared" si="265"/>
        <v>0</v>
      </c>
      <c r="AT112" s="164"/>
      <c r="AU112" s="164"/>
      <c r="AV112" s="164">
        <f t="shared" si="266"/>
        <v>0</v>
      </c>
      <c r="AW112" s="164">
        <f>AZ112-AT112</f>
        <v>0</v>
      </c>
      <c r="AX112" s="164"/>
      <c r="AY112" s="164">
        <f t="shared" si="267"/>
        <v>0</v>
      </c>
      <c r="AZ112" s="164"/>
      <c r="BA112" s="164"/>
      <c r="BB112" s="164">
        <f t="shared" si="268"/>
        <v>0</v>
      </c>
      <c r="BC112" s="164"/>
      <c r="BD112" s="164"/>
      <c r="BE112" s="164">
        <f t="shared" si="269"/>
        <v>0</v>
      </c>
      <c r="BF112" s="164">
        <f>BW112-BC112</f>
        <v>0</v>
      </c>
      <c r="BG112" s="164"/>
      <c r="BH112" s="164">
        <f t="shared" si="270"/>
        <v>0</v>
      </c>
      <c r="BI112" s="164"/>
      <c r="BJ112" s="164"/>
      <c r="BK112" s="167">
        <v>1</v>
      </c>
      <c r="BL112" s="168">
        <f t="shared" si="271"/>
        <v>0</v>
      </c>
      <c r="BM112" s="168"/>
      <c r="BN112" s="168"/>
      <c r="BO112" s="168"/>
      <c r="BP112" s="168"/>
      <c r="BQ112" s="168"/>
      <c r="BR112" s="168"/>
      <c r="BS112" s="168"/>
      <c r="BT112" s="168"/>
      <c r="BU112" s="168"/>
      <c r="BV112" s="164">
        <f t="shared" si="272"/>
        <v>0</v>
      </c>
      <c r="BW112" s="164"/>
      <c r="BX112" s="164"/>
      <c r="BY112" s="164">
        <f t="shared" si="273"/>
        <v>0</v>
      </c>
      <c r="BZ112" s="164">
        <f>CC112-BW112</f>
        <v>0</v>
      </c>
      <c r="CA112" s="164"/>
      <c r="CB112" s="164">
        <f t="shared" si="274"/>
        <v>0</v>
      </c>
      <c r="CC112" s="164"/>
      <c r="CD112" s="164"/>
      <c r="CE112" s="168">
        <v>1</v>
      </c>
      <c r="CF112" s="168">
        <f t="shared" si="275"/>
        <v>0</v>
      </c>
      <c r="CG112" s="164"/>
      <c r="CH112" s="164">
        <f t="shared" si="276"/>
        <v>0</v>
      </c>
      <c r="CI112" s="164"/>
      <c r="CJ112" s="164"/>
      <c r="CK112" s="164">
        <f t="shared" si="277"/>
        <v>0</v>
      </c>
      <c r="CL112" s="164">
        <f>CR112-CI112</f>
        <v>0</v>
      </c>
      <c r="CM112" s="164"/>
      <c r="CN112" s="164"/>
      <c r="CO112" s="164"/>
      <c r="CP112" s="164"/>
      <c r="CQ112" s="164">
        <f t="shared" si="278"/>
        <v>0</v>
      </c>
      <c r="CR112" s="164"/>
      <c r="CS112" s="164"/>
      <c r="CT112" s="164">
        <f t="shared" si="279"/>
        <v>0</v>
      </c>
      <c r="CU112" s="164"/>
      <c r="CV112" s="164"/>
      <c r="CW112" s="164">
        <f t="shared" si="280"/>
        <v>0</v>
      </c>
      <c r="CX112" s="164"/>
      <c r="CY112" s="164"/>
      <c r="CZ112" s="164">
        <f t="shared" si="281"/>
        <v>0</v>
      </c>
      <c r="DA112" s="164"/>
      <c r="DB112" s="164"/>
      <c r="DC112" s="164"/>
      <c r="DD112" s="164"/>
      <c r="DE112" s="164"/>
      <c r="DF112" s="164">
        <f t="shared" si="282"/>
        <v>0</v>
      </c>
      <c r="DG112" s="164"/>
      <c r="DH112" s="164"/>
      <c r="DI112" s="164">
        <f t="shared" si="283"/>
        <v>0</v>
      </c>
      <c r="DJ112" s="164"/>
      <c r="DK112" s="164"/>
      <c r="DL112" s="164">
        <f t="shared" si="284"/>
        <v>0</v>
      </c>
      <c r="DM112" s="164"/>
      <c r="DN112" s="164"/>
      <c r="DO112" s="164">
        <f t="shared" si="285"/>
        <v>0</v>
      </c>
      <c r="DP112" s="164"/>
      <c r="DQ112" s="164"/>
      <c r="DR112" s="164">
        <f t="shared" si="286"/>
        <v>0</v>
      </c>
      <c r="DS112" s="164"/>
      <c r="DT112" s="164"/>
      <c r="DU112" s="164">
        <f t="shared" si="287"/>
        <v>0</v>
      </c>
      <c r="DV112" s="164"/>
      <c r="DW112" s="164"/>
      <c r="DX112" s="164">
        <f t="shared" si="288"/>
        <v>0</v>
      </c>
      <c r="DY112" s="164"/>
      <c r="DZ112" s="164"/>
      <c r="EA112" s="164"/>
      <c r="EB112" s="164"/>
      <c r="EC112" s="164"/>
      <c r="ED112" s="164"/>
      <c r="EE112" s="164"/>
      <c r="EF112" s="164"/>
      <c r="EG112" s="164"/>
      <c r="EH112" s="164"/>
      <c r="EI112" s="164"/>
      <c r="EJ112" s="164"/>
      <c r="EK112" s="164">
        <f t="shared" si="289"/>
        <v>0</v>
      </c>
      <c r="EL112" s="164"/>
      <c r="EM112" s="164"/>
      <c r="EN112" s="164"/>
      <c r="EO112" s="164">
        <f t="shared" si="290"/>
        <v>0</v>
      </c>
      <c r="EP112" s="164"/>
      <c r="EQ112" s="164"/>
      <c r="ER112" s="164"/>
      <c r="ES112" s="106"/>
      <c r="ET112" s="164"/>
      <c r="EU112" s="164"/>
      <c r="EV112" s="164"/>
      <c r="EW112" s="164">
        <f t="shared" si="291"/>
        <v>0</v>
      </c>
      <c r="EX112" s="164"/>
      <c r="EY112" s="164"/>
      <c r="EZ112" s="164"/>
      <c r="FA112" s="164"/>
      <c r="FB112" s="164"/>
      <c r="FC112" s="163"/>
      <c r="FD112" s="163"/>
      <c r="FE112" s="163"/>
      <c r="FF112" s="163"/>
      <c r="FG112" s="163">
        <f t="shared" si="292"/>
        <v>0</v>
      </c>
      <c r="FH112" s="163"/>
      <c r="FI112" s="163"/>
      <c r="FJ112" s="163"/>
      <c r="FK112" s="163">
        <f t="shared" si="293"/>
        <v>0</v>
      </c>
      <c r="FL112" s="163"/>
      <c r="FM112" s="163"/>
      <c r="FN112" s="163"/>
      <c r="FO112" s="163"/>
      <c r="FP112" s="163"/>
      <c r="FQ112" s="163"/>
      <c r="FR112" s="163"/>
      <c r="FS112" s="39">
        <f t="shared" si="195"/>
        <v>0</v>
      </c>
      <c r="FT112" s="485" t="e">
        <f t="shared" si="241"/>
        <v>#DIV/0!</v>
      </c>
      <c r="FU112" s="39">
        <v>0</v>
      </c>
      <c r="FV112" s="485" t="e">
        <f t="shared" si="242"/>
        <v>#DIV/0!</v>
      </c>
      <c r="FW112" s="38"/>
      <c r="FX112" s="660"/>
      <c r="FY112" s="39"/>
      <c r="FZ112" s="660"/>
      <c r="GA112" s="39">
        <f t="shared" si="247"/>
        <v>0</v>
      </c>
      <c r="GB112" s="485" t="e">
        <f t="shared" si="248"/>
        <v>#DIV/0!</v>
      </c>
      <c r="GC112" s="39">
        <v>0</v>
      </c>
      <c r="GD112" s="485" t="e">
        <f t="shared" si="249"/>
        <v>#DIV/0!</v>
      </c>
      <c r="GE112" s="82"/>
      <c r="GF112" s="498"/>
      <c r="GG112" s="82"/>
      <c r="GH112" s="498"/>
      <c r="GI112" s="90" t="e">
        <f t="shared" si="243"/>
        <v>#REF!</v>
      </c>
      <c r="GJ112" s="485" t="e">
        <f t="shared" si="244"/>
        <v>#REF!</v>
      </c>
      <c r="GK112" s="90" t="e">
        <f>#REF!+GK410</f>
        <v>#REF!</v>
      </c>
      <c r="GL112" s="485" t="e">
        <f t="shared" si="245"/>
        <v>#REF!</v>
      </c>
      <c r="GM112" s="90" t="e">
        <f>#REF!+GM410</f>
        <v>#REF!</v>
      </c>
      <c r="GN112" s="485" t="e">
        <f>GM112/FE112</f>
        <v>#REF!</v>
      </c>
      <c r="GO112" s="90" t="e">
        <f>#REF!+GO410</f>
        <v>#REF!</v>
      </c>
      <c r="GP112" s="485" t="e">
        <f t="shared" si="294"/>
        <v>#REF!</v>
      </c>
      <c r="GQ112" s="164"/>
      <c r="GR112" s="164"/>
      <c r="GS112" s="164"/>
      <c r="GT112" s="164"/>
      <c r="GU112" s="164"/>
      <c r="GV112" s="164"/>
      <c r="GW112" s="164"/>
      <c r="GX112" s="164"/>
      <c r="GY112" s="164"/>
      <c r="GZ112" s="164"/>
      <c r="HA112" s="164"/>
      <c r="HB112" s="164"/>
      <c r="HC112" s="164"/>
      <c r="HD112" s="164"/>
      <c r="HE112" s="164"/>
      <c r="HF112" s="164"/>
      <c r="HG112" s="164"/>
      <c r="HH112" s="164"/>
      <c r="HI112" s="164"/>
      <c r="HJ112" s="164"/>
      <c r="HK112" s="164"/>
      <c r="HL112" s="164"/>
      <c r="HM112" s="164"/>
      <c r="HN112" s="164"/>
      <c r="HO112" s="164"/>
      <c r="HP112" s="164"/>
      <c r="HQ112" s="164"/>
      <c r="HR112" s="164"/>
      <c r="HS112" s="164"/>
      <c r="HT112" s="164"/>
      <c r="HU112" s="164"/>
      <c r="HV112" s="164"/>
      <c r="HW112" s="164"/>
      <c r="HX112" s="164"/>
      <c r="HY112" s="164"/>
      <c r="HZ112" s="164"/>
      <c r="IA112" s="164"/>
      <c r="IB112" s="164"/>
      <c r="IC112" s="164"/>
      <c r="ID112" s="164"/>
      <c r="IE112" s="169"/>
      <c r="IF112" s="170"/>
      <c r="IG112" s="170"/>
      <c r="IH112" s="170"/>
    </row>
    <row r="113" spans="2:249" s="184" customFormat="1" ht="105" hidden="1" customHeight="1" x14ac:dyDescent="0.25">
      <c r="B113" s="178" t="s">
        <v>193</v>
      </c>
      <c r="C113" s="206" t="s">
        <v>199</v>
      </c>
      <c r="D113" s="179" t="s">
        <v>200</v>
      </c>
      <c r="E113" s="180">
        <f t="shared" si="255"/>
        <v>0</v>
      </c>
      <c r="F113" s="210">
        <f>SUM(F114:F115)</f>
        <v>0</v>
      </c>
      <c r="G113" s="210"/>
      <c r="H113" s="180">
        <f t="shared" si="256"/>
        <v>0</v>
      </c>
      <c r="I113" s="210">
        <f>SUM(I114:I115)</f>
        <v>0</v>
      </c>
      <c r="J113" s="210"/>
      <c r="K113" s="180">
        <f t="shared" si="257"/>
        <v>0</v>
      </c>
      <c r="L113" s="210">
        <f>SUM(L114:L115)</f>
        <v>0</v>
      </c>
      <c r="M113" s="210"/>
      <c r="N113" s="180">
        <f t="shared" si="258"/>
        <v>0</v>
      </c>
      <c r="O113" s="210">
        <f>SUM(O114:O115)</f>
        <v>0</v>
      </c>
      <c r="P113" s="210"/>
      <c r="Q113" s="181">
        <f t="shared" si="259"/>
        <v>0</v>
      </c>
      <c r="R113" s="182">
        <f>SUM(R114:R115)</f>
        <v>0</v>
      </c>
      <c r="S113" s="182"/>
      <c r="T113" s="181">
        <f t="shared" si="260"/>
        <v>0</v>
      </c>
      <c r="U113" s="182">
        <f>SUM(U114:U115)</f>
        <v>0</v>
      </c>
      <c r="V113" s="182"/>
      <c r="W113" s="181">
        <f t="shared" si="261"/>
        <v>0</v>
      </c>
      <c r="X113" s="182">
        <f>SUM(X114:X115)</f>
        <v>0</v>
      </c>
      <c r="Y113" s="182"/>
      <c r="Z113" s="181">
        <f t="shared" si="262"/>
        <v>0</v>
      </c>
      <c r="AA113" s="182">
        <f t="shared" ref="AA113:AH113" si="295">SUM(AA114:AA115)</f>
        <v>0</v>
      </c>
      <c r="AB113" s="182">
        <f t="shared" si="295"/>
        <v>0</v>
      </c>
      <c r="AC113" s="182">
        <f t="shared" si="295"/>
        <v>0</v>
      </c>
      <c r="AD113" s="182">
        <f t="shared" si="295"/>
        <v>0</v>
      </c>
      <c r="AE113" s="182">
        <f t="shared" si="295"/>
        <v>0</v>
      </c>
      <c r="AF113" s="182">
        <f t="shared" si="295"/>
        <v>0</v>
      </c>
      <c r="AG113" s="182">
        <f t="shared" si="295"/>
        <v>0</v>
      </c>
      <c r="AH113" s="182">
        <f t="shared" si="295"/>
        <v>0</v>
      </c>
      <c r="AI113" s="182">
        <v>0</v>
      </c>
      <c r="AJ113" s="182">
        <f>SUM(AJ114:AJ115)</f>
        <v>0</v>
      </c>
      <c r="AK113" s="182">
        <f t="shared" si="264"/>
        <v>0</v>
      </c>
      <c r="AL113" s="182">
        <f t="shared" si="264"/>
        <v>0</v>
      </c>
      <c r="AM113" s="746" t="s">
        <v>201</v>
      </c>
      <c r="AN113" s="483" t="s">
        <v>201</v>
      </c>
      <c r="AO113" s="109">
        <v>1</v>
      </c>
      <c r="AP113" s="483"/>
      <c r="AQ113" s="483"/>
      <c r="AR113" s="483"/>
      <c r="AS113" s="181">
        <f t="shared" si="265"/>
        <v>500</v>
      </c>
      <c r="AT113" s="182">
        <f>SUM(AT114:AT115)</f>
        <v>500</v>
      </c>
      <c r="AU113" s="182">
        <f>SUM(AU114:AU115)</f>
        <v>0</v>
      </c>
      <c r="AV113" s="181">
        <f t="shared" si="266"/>
        <v>0</v>
      </c>
      <c r="AW113" s="182">
        <f>SUM(AW114:AW115)</f>
        <v>0</v>
      </c>
      <c r="AX113" s="182"/>
      <c r="AY113" s="181">
        <f t="shared" si="267"/>
        <v>500</v>
      </c>
      <c r="AZ113" s="182">
        <f>SUM(AZ114:AZ115)</f>
        <v>500</v>
      </c>
      <c r="BA113" s="182">
        <f>SUM(BA114:BA115)</f>
        <v>0</v>
      </c>
      <c r="BB113" s="181">
        <f t="shared" si="268"/>
        <v>500</v>
      </c>
      <c r="BC113" s="182">
        <f>SUM(BC114:BC115)</f>
        <v>500</v>
      </c>
      <c r="BD113" s="182"/>
      <c r="BE113" s="181">
        <f t="shared" si="269"/>
        <v>0</v>
      </c>
      <c r="BF113" s="182">
        <f>SUM(BF114:BF115)</f>
        <v>0</v>
      </c>
      <c r="BG113" s="182"/>
      <c r="BH113" s="181">
        <f t="shared" si="270"/>
        <v>500</v>
      </c>
      <c r="BI113" s="182">
        <f>SUM(BI114:BI115)</f>
        <v>500</v>
      </c>
      <c r="BJ113" s="182">
        <f>SUM(BJ114:BJ115)</f>
        <v>0</v>
      </c>
      <c r="BK113" s="110">
        <v>1</v>
      </c>
      <c r="BL113" s="106">
        <f t="shared" si="271"/>
        <v>500</v>
      </c>
      <c r="BM113" s="106"/>
      <c r="BN113" s="106"/>
      <c r="BO113" s="106"/>
      <c r="BP113" s="106"/>
      <c r="BQ113" s="106"/>
      <c r="BR113" s="106"/>
      <c r="BS113" s="106">
        <f>BS114</f>
        <v>500</v>
      </c>
      <c r="BT113" s="106">
        <f>BT114</f>
        <v>500</v>
      </c>
      <c r="BU113" s="106">
        <f>BU114</f>
        <v>0</v>
      </c>
      <c r="BV113" s="181">
        <f t="shared" si="272"/>
        <v>500</v>
      </c>
      <c r="BW113" s="182">
        <f>SUM(BW114:BW115)</f>
        <v>500</v>
      </c>
      <c r="BX113" s="182"/>
      <c r="BY113" s="181">
        <f t="shared" si="273"/>
        <v>0</v>
      </c>
      <c r="BZ113" s="182">
        <f>SUM(BZ114:BZ115)</f>
        <v>0</v>
      </c>
      <c r="CA113" s="182"/>
      <c r="CB113" s="181">
        <f t="shared" si="274"/>
        <v>500</v>
      </c>
      <c r="CC113" s="182">
        <f>SUM(CC114:CC115)</f>
        <v>500</v>
      </c>
      <c r="CD113" s="182"/>
      <c r="CE113" s="106">
        <v>1</v>
      </c>
      <c r="CF113" s="106">
        <f t="shared" si="275"/>
        <v>500</v>
      </c>
      <c r="CG113" s="181"/>
      <c r="CH113" s="181">
        <f t="shared" si="276"/>
        <v>10000</v>
      </c>
      <c r="CI113" s="182">
        <f>SUM(CI114:CI115)</f>
        <v>10000</v>
      </c>
      <c r="CJ113" s="182">
        <f>SUM(CJ114:CJ115)</f>
        <v>0</v>
      </c>
      <c r="CK113" s="181">
        <f t="shared" si="277"/>
        <v>0</v>
      </c>
      <c r="CL113" s="182">
        <f>SUM(CL114:CL115)</f>
        <v>0</v>
      </c>
      <c r="CM113" s="182"/>
      <c r="CN113" s="182"/>
      <c r="CO113" s="182"/>
      <c r="CP113" s="182"/>
      <c r="CQ113" s="181">
        <f t="shared" si="278"/>
        <v>10000</v>
      </c>
      <c r="CR113" s="182">
        <f>SUM(CR114:CR115)</f>
        <v>10000</v>
      </c>
      <c r="CS113" s="182">
        <f>SUM(CS114:CS115)</f>
        <v>0</v>
      </c>
      <c r="CT113" s="181">
        <f t="shared" si="279"/>
        <v>0</v>
      </c>
      <c r="CU113" s="182"/>
      <c r="CV113" s="182"/>
      <c r="CW113" s="181">
        <f t="shared" si="280"/>
        <v>0</v>
      </c>
      <c r="CX113" s="182">
        <f>SUM(CX114:CX115)</f>
        <v>0</v>
      </c>
      <c r="CY113" s="182"/>
      <c r="CZ113" s="181">
        <f t="shared" si="281"/>
        <v>500</v>
      </c>
      <c r="DA113" s="182">
        <f>SUM(DA114:DA115)</f>
        <v>500</v>
      </c>
      <c r="DB113" s="182">
        <f>SUM(DB114:DB115)</f>
        <v>0</v>
      </c>
      <c r="DC113" s="182"/>
      <c r="DD113" s="182"/>
      <c r="DE113" s="182"/>
      <c r="DF113" s="181">
        <f t="shared" si="282"/>
        <v>0</v>
      </c>
      <c r="DG113" s="182">
        <f>SUM(DG114:DG115)</f>
        <v>0</v>
      </c>
      <c r="DH113" s="182"/>
      <c r="DI113" s="181">
        <f t="shared" si="283"/>
        <v>0</v>
      </c>
      <c r="DJ113" s="182">
        <f>SUM(DJ114:DJ115)</f>
        <v>0</v>
      </c>
      <c r="DK113" s="182"/>
      <c r="DL113" s="181">
        <f t="shared" si="284"/>
        <v>0</v>
      </c>
      <c r="DM113" s="182">
        <f>SUM(DM114:DM115)</f>
        <v>0</v>
      </c>
      <c r="DN113" s="182"/>
      <c r="DO113" s="181">
        <f t="shared" si="285"/>
        <v>0</v>
      </c>
      <c r="DP113" s="182">
        <f>SUM(DP114:DP115)</f>
        <v>0</v>
      </c>
      <c r="DQ113" s="182"/>
      <c r="DR113" s="181">
        <f t="shared" si="286"/>
        <v>0</v>
      </c>
      <c r="DS113" s="182">
        <f>SUM(DS114:DS115)</f>
        <v>0</v>
      </c>
      <c r="DT113" s="182"/>
      <c r="DU113" s="181">
        <f t="shared" si="287"/>
        <v>500</v>
      </c>
      <c r="DV113" s="182">
        <f>SUM(DV114:DV115)</f>
        <v>500</v>
      </c>
      <c r="DW113" s="182"/>
      <c r="DX113" s="181">
        <f t="shared" si="288"/>
        <v>100</v>
      </c>
      <c r="DY113" s="182">
        <f>SUM(DY114:DY115)</f>
        <v>100</v>
      </c>
      <c r="DZ113" s="182">
        <f>SUM(DZ114:DZ115)</f>
        <v>0</v>
      </c>
      <c r="EA113" s="182"/>
      <c r="EB113" s="182"/>
      <c r="EC113" s="182"/>
      <c r="ED113" s="182">
        <f>EE113</f>
        <v>-400</v>
      </c>
      <c r="EE113" s="182">
        <f>EE114</f>
        <v>-400</v>
      </c>
      <c r="EF113" s="182"/>
      <c r="EG113" s="106">
        <f>EH113</f>
        <v>100</v>
      </c>
      <c r="EH113" s="106">
        <f>EH114</f>
        <v>100</v>
      </c>
      <c r="EI113" s="106"/>
      <c r="EJ113" s="182"/>
      <c r="EK113" s="181">
        <f t="shared" si="289"/>
        <v>0</v>
      </c>
      <c r="EL113" s="182">
        <f>SUM(EL114:EL115)</f>
        <v>0</v>
      </c>
      <c r="EM113" s="182"/>
      <c r="EN113" s="182"/>
      <c r="EO113" s="181">
        <f t="shared" si="290"/>
        <v>0</v>
      </c>
      <c r="EP113" s="182">
        <f>SUM(EP114:EP115)</f>
        <v>0</v>
      </c>
      <c r="EQ113" s="182"/>
      <c r="ER113" s="182"/>
      <c r="ES113" s="106">
        <f>ET113+EV113</f>
        <v>0</v>
      </c>
      <c r="ET113" s="106">
        <f>ET114+ET115</f>
        <v>0</v>
      </c>
      <c r="EU113" s="182"/>
      <c r="EV113" s="182"/>
      <c r="EW113" s="181">
        <f t="shared" si="291"/>
        <v>100</v>
      </c>
      <c r="EX113" s="182">
        <f>SUM(EX114:EX115)</f>
        <v>100</v>
      </c>
      <c r="EY113" s="182">
        <f>SUM(EY114:EY115)</f>
        <v>0</v>
      </c>
      <c r="EZ113" s="182">
        <f>FA113</f>
        <v>-100</v>
      </c>
      <c r="FA113" s="182">
        <f>FA114</f>
        <v>-100</v>
      </c>
      <c r="FB113" s="182"/>
      <c r="FC113" s="104">
        <f>FD113</f>
        <v>0</v>
      </c>
      <c r="FD113" s="104">
        <f>FD114</f>
        <v>0</v>
      </c>
      <c r="FE113" s="104"/>
      <c r="FF113" s="210"/>
      <c r="FG113" s="180">
        <f t="shared" si="292"/>
        <v>100</v>
      </c>
      <c r="FH113" s="210">
        <f>SUM(FH114:FH115)</f>
        <v>100</v>
      </c>
      <c r="FI113" s="210"/>
      <c r="FJ113" s="210"/>
      <c r="FK113" s="180">
        <f t="shared" si="293"/>
        <v>0</v>
      </c>
      <c r="FL113" s="210">
        <f>SUM(FL114:FL115)</f>
        <v>0</v>
      </c>
      <c r="FM113" s="210"/>
      <c r="FN113" s="210"/>
      <c r="FO113" s="104">
        <f>FP113</f>
        <v>100</v>
      </c>
      <c r="FP113" s="104">
        <f>FP114</f>
        <v>100</v>
      </c>
      <c r="FQ113" s="104"/>
      <c r="FR113" s="210"/>
      <c r="FS113" s="629">
        <f>FU113</f>
        <v>0</v>
      </c>
      <c r="FT113" s="595" t="e">
        <f t="shared" si="241"/>
        <v>#DIV/0!</v>
      </c>
      <c r="FU113" s="629">
        <v>0</v>
      </c>
      <c r="FV113" s="595" t="e">
        <f t="shared" si="242"/>
        <v>#DIV/0!</v>
      </c>
      <c r="FW113" s="522"/>
      <c r="FX113" s="666"/>
      <c r="FY113" s="629"/>
      <c r="FZ113" s="666"/>
      <c r="GA113" s="629">
        <f t="shared" si="247"/>
        <v>0</v>
      </c>
      <c r="GB113" s="595" t="e">
        <f t="shared" si="248"/>
        <v>#DIV/0!</v>
      </c>
      <c r="GC113" s="629">
        <v>0</v>
      </c>
      <c r="GD113" s="595" t="e">
        <f t="shared" si="249"/>
        <v>#DIV/0!</v>
      </c>
      <c r="GE113" s="522"/>
      <c r="GF113" s="514"/>
      <c r="GG113" s="522"/>
      <c r="GH113" s="514"/>
      <c r="GI113" s="629">
        <f>GK113</f>
        <v>0</v>
      </c>
      <c r="GJ113" s="595" t="e">
        <f t="shared" si="244"/>
        <v>#DIV/0!</v>
      </c>
      <c r="GK113" s="629">
        <f>GK114</f>
        <v>0</v>
      </c>
      <c r="GL113" s="595" t="e">
        <f t="shared" si="245"/>
        <v>#DIV/0!</v>
      </c>
      <c r="GM113" s="629"/>
      <c r="GN113" s="595"/>
      <c r="GO113" s="629"/>
      <c r="GP113" s="595"/>
      <c r="GQ113" s="182"/>
      <c r="GR113" s="182"/>
      <c r="GS113" s="182"/>
      <c r="GT113" s="182"/>
      <c r="GU113" s="106">
        <f>GV113</f>
        <v>100</v>
      </c>
      <c r="GV113" s="106">
        <f>GV114</f>
        <v>100</v>
      </c>
      <c r="GW113" s="106"/>
      <c r="GX113" s="182"/>
      <c r="GY113" s="182"/>
      <c r="GZ113" s="182"/>
      <c r="HA113" s="182"/>
      <c r="HB113" s="182"/>
      <c r="HC113" s="182"/>
      <c r="HD113" s="182"/>
      <c r="HE113" s="182"/>
      <c r="HF113" s="182"/>
      <c r="HG113" s="106">
        <f>HH113</f>
        <v>0</v>
      </c>
      <c r="HH113" s="106">
        <f>HH114</f>
        <v>0</v>
      </c>
      <c r="HI113" s="106"/>
      <c r="HJ113" s="182"/>
      <c r="HK113" s="106">
        <f>HL113</f>
        <v>0</v>
      </c>
      <c r="HL113" s="106">
        <f>HL114</f>
        <v>0</v>
      </c>
      <c r="HM113" s="106"/>
      <c r="HN113" s="182"/>
      <c r="HO113" s="106">
        <f>HP113</f>
        <v>100</v>
      </c>
      <c r="HP113" s="106">
        <f>HP114</f>
        <v>100</v>
      </c>
      <c r="HQ113" s="106"/>
      <c r="HR113" s="182"/>
      <c r="HS113" s="106">
        <f>HT113</f>
        <v>1100</v>
      </c>
      <c r="HT113" s="106">
        <f>HT114</f>
        <v>1100</v>
      </c>
      <c r="HU113" s="106"/>
      <c r="HV113" s="182"/>
      <c r="HW113" s="106">
        <f>HX113</f>
        <v>0</v>
      </c>
      <c r="HX113" s="106">
        <f>HX114</f>
        <v>0</v>
      </c>
      <c r="HY113" s="106"/>
      <c r="HZ113" s="182"/>
      <c r="IA113" s="106">
        <f>IB113</f>
        <v>1100</v>
      </c>
      <c r="IB113" s="106">
        <f>IB114</f>
        <v>1100</v>
      </c>
      <c r="IC113" s="106"/>
      <c r="ID113" s="182"/>
      <c r="IE113" s="196" t="s">
        <v>202</v>
      </c>
      <c r="IF113" s="211"/>
      <c r="IG113" s="211"/>
      <c r="IH113" s="211"/>
    </row>
    <row r="114" spans="2:249" s="171" customFormat="1" ht="22.5" hidden="1" customHeight="1" x14ac:dyDescent="0.25">
      <c r="B114" s="160"/>
      <c r="C114" s="161" t="s">
        <v>146</v>
      </c>
      <c r="D114" s="162"/>
      <c r="E114" s="163">
        <f t="shared" si="255"/>
        <v>0</v>
      </c>
      <c r="F114" s="163"/>
      <c r="G114" s="163"/>
      <c r="H114" s="163">
        <f t="shared" si="256"/>
        <v>0</v>
      </c>
      <c r="I114" s="163">
        <f>L114-F114</f>
        <v>0</v>
      </c>
      <c r="J114" s="163"/>
      <c r="K114" s="163">
        <f t="shared" si="257"/>
        <v>0</v>
      </c>
      <c r="L114" s="163"/>
      <c r="M114" s="163"/>
      <c r="N114" s="163">
        <f t="shared" si="258"/>
        <v>0</v>
      </c>
      <c r="O114" s="163">
        <f>R114-L114</f>
        <v>0</v>
      </c>
      <c r="P114" s="163"/>
      <c r="Q114" s="164">
        <f t="shared" si="259"/>
        <v>0</v>
      </c>
      <c r="R114" s="164"/>
      <c r="S114" s="164"/>
      <c r="T114" s="164">
        <f t="shared" si="260"/>
        <v>0</v>
      </c>
      <c r="U114" s="164"/>
      <c r="V114" s="164"/>
      <c r="W114" s="164">
        <f t="shared" si="261"/>
        <v>0</v>
      </c>
      <c r="X114" s="164">
        <f>AA114-U114</f>
        <v>0</v>
      </c>
      <c r="Y114" s="164"/>
      <c r="Z114" s="164">
        <f t="shared" si="262"/>
        <v>0</v>
      </c>
      <c r="AA114" s="164"/>
      <c r="AB114" s="164"/>
      <c r="AC114" s="164">
        <f>AD114+AE114</f>
        <v>0</v>
      </c>
      <c r="AD114" s="164"/>
      <c r="AE114" s="164"/>
      <c r="AF114" s="164">
        <f>AG114+AH114</f>
        <v>0</v>
      </c>
      <c r="AG114" s="164"/>
      <c r="AH114" s="164"/>
      <c r="AI114" s="164"/>
      <c r="AJ114" s="164"/>
      <c r="AK114" s="165">
        <f t="shared" si="264"/>
        <v>0</v>
      </c>
      <c r="AL114" s="165">
        <f t="shared" si="264"/>
        <v>0</v>
      </c>
      <c r="AM114" s="746"/>
      <c r="AN114" s="174"/>
      <c r="AO114" s="166">
        <v>1</v>
      </c>
      <c r="AP114" s="174"/>
      <c r="AQ114" s="174"/>
      <c r="AR114" s="174"/>
      <c r="AS114" s="164">
        <f t="shared" si="265"/>
        <v>500</v>
      </c>
      <c r="AT114" s="164">
        <v>500</v>
      </c>
      <c r="AU114" s="164"/>
      <c r="AV114" s="164">
        <f t="shared" si="266"/>
        <v>0</v>
      </c>
      <c r="AW114" s="164">
        <v>0</v>
      </c>
      <c r="AX114" s="164"/>
      <c r="AY114" s="164">
        <f t="shared" si="267"/>
        <v>500</v>
      </c>
      <c r="AZ114" s="164">
        <f>AT114+AW114</f>
        <v>500</v>
      </c>
      <c r="BA114" s="164"/>
      <c r="BB114" s="164">
        <f t="shared" si="268"/>
        <v>500</v>
      </c>
      <c r="BC114" s="164">
        <v>500</v>
      </c>
      <c r="BD114" s="164"/>
      <c r="BE114" s="164">
        <f t="shared" si="269"/>
        <v>0</v>
      </c>
      <c r="BF114" s="164">
        <f>BW114-BC114</f>
        <v>0</v>
      </c>
      <c r="BG114" s="164"/>
      <c r="BH114" s="164">
        <f t="shared" si="270"/>
        <v>500</v>
      </c>
      <c r="BI114" s="164">
        <f>BC114+BF114</f>
        <v>500</v>
      </c>
      <c r="BJ114" s="164"/>
      <c r="BK114" s="167">
        <v>1</v>
      </c>
      <c r="BL114" s="168">
        <f t="shared" si="271"/>
        <v>500</v>
      </c>
      <c r="BM114" s="168"/>
      <c r="BN114" s="168"/>
      <c r="BO114" s="168"/>
      <c r="BP114" s="168"/>
      <c r="BQ114" s="168"/>
      <c r="BR114" s="168"/>
      <c r="BS114" s="168">
        <f>BT114+BU114</f>
        <v>500</v>
      </c>
      <c r="BT114" s="168">
        <f>AZ114-BN114-BQ114</f>
        <v>500</v>
      </c>
      <c r="BU114" s="168"/>
      <c r="BV114" s="164">
        <f t="shared" si="272"/>
        <v>500</v>
      </c>
      <c r="BW114" s="164">
        <v>500</v>
      </c>
      <c r="BX114" s="164"/>
      <c r="BY114" s="164">
        <f t="shared" si="273"/>
        <v>0</v>
      </c>
      <c r="BZ114" s="164">
        <f>CC114-BW114</f>
        <v>0</v>
      </c>
      <c r="CA114" s="164"/>
      <c r="CB114" s="164">
        <f t="shared" si="274"/>
        <v>500</v>
      </c>
      <c r="CC114" s="164">
        <v>500</v>
      </c>
      <c r="CD114" s="164"/>
      <c r="CE114" s="168">
        <v>1</v>
      </c>
      <c r="CF114" s="168">
        <f t="shared" si="275"/>
        <v>500</v>
      </c>
      <c r="CG114" s="164"/>
      <c r="CH114" s="164">
        <f t="shared" si="276"/>
        <v>10000</v>
      </c>
      <c r="CI114" s="164">
        <v>10000</v>
      </c>
      <c r="CJ114" s="164"/>
      <c r="CK114" s="164">
        <f t="shared" si="277"/>
        <v>0</v>
      </c>
      <c r="CL114" s="164">
        <v>0</v>
      </c>
      <c r="CM114" s="164"/>
      <c r="CN114" s="164"/>
      <c r="CO114" s="164"/>
      <c r="CP114" s="164"/>
      <c r="CQ114" s="164">
        <f t="shared" si="278"/>
        <v>10000</v>
      </c>
      <c r="CR114" s="164">
        <v>10000</v>
      </c>
      <c r="CS114" s="164"/>
      <c r="CT114" s="164">
        <f t="shared" si="279"/>
        <v>0</v>
      </c>
      <c r="CU114" s="164"/>
      <c r="CV114" s="164"/>
      <c r="CW114" s="164">
        <f t="shared" si="280"/>
        <v>0</v>
      </c>
      <c r="CX114" s="164">
        <v>0</v>
      </c>
      <c r="CY114" s="164"/>
      <c r="CZ114" s="164">
        <f t="shared" si="281"/>
        <v>500</v>
      </c>
      <c r="DA114" s="164">
        <v>500</v>
      </c>
      <c r="DB114" s="164"/>
      <c r="DC114" s="164"/>
      <c r="DD114" s="164"/>
      <c r="DE114" s="164"/>
      <c r="DF114" s="164">
        <f t="shared" si="282"/>
        <v>0</v>
      </c>
      <c r="DG114" s="164">
        <f>DJ114-CX114</f>
        <v>0</v>
      </c>
      <c r="DH114" s="164"/>
      <c r="DI114" s="164">
        <f t="shared" si="283"/>
        <v>0</v>
      </c>
      <c r="DJ114" s="164">
        <v>0</v>
      </c>
      <c r="DK114" s="164"/>
      <c r="DL114" s="164">
        <f t="shared" si="284"/>
        <v>0</v>
      </c>
      <c r="DM114" s="164">
        <v>0</v>
      </c>
      <c r="DN114" s="164"/>
      <c r="DO114" s="164">
        <f t="shared" si="285"/>
        <v>0</v>
      </c>
      <c r="DP114" s="164">
        <v>0</v>
      </c>
      <c r="DQ114" s="164"/>
      <c r="DR114" s="164">
        <f t="shared" si="286"/>
        <v>0</v>
      </c>
      <c r="DS114" s="164">
        <f>DJ114-DM114-DP114</f>
        <v>0</v>
      </c>
      <c r="DT114" s="164"/>
      <c r="DU114" s="164">
        <f t="shared" si="287"/>
        <v>500</v>
      </c>
      <c r="DV114" s="164">
        <v>500</v>
      </c>
      <c r="DW114" s="164"/>
      <c r="DX114" s="164">
        <f t="shared" si="288"/>
        <v>100</v>
      </c>
      <c r="DY114" s="164">
        <v>100</v>
      </c>
      <c r="DZ114" s="164"/>
      <c r="EA114" s="164"/>
      <c r="EB114" s="164"/>
      <c r="EC114" s="164"/>
      <c r="ED114" s="164">
        <f>EE114</f>
        <v>-400</v>
      </c>
      <c r="EE114" s="164">
        <f>EH114-DV114</f>
        <v>-400</v>
      </c>
      <c r="EF114" s="164"/>
      <c r="EG114" s="164">
        <f>EH114</f>
        <v>100</v>
      </c>
      <c r="EH114" s="164">
        <v>100</v>
      </c>
      <c r="EI114" s="164"/>
      <c r="EJ114" s="164"/>
      <c r="EK114" s="164">
        <f t="shared" si="289"/>
        <v>0</v>
      </c>
      <c r="EL114" s="164"/>
      <c r="EM114" s="164"/>
      <c r="EN114" s="164"/>
      <c r="EO114" s="164">
        <f t="shared" si="290"/>
        <v>0</v>
      </c>
      <c r="EP114" s="164"/>
      <c r="EQ114" s="164"/>
      <c r="ER114" s="164"/>
      <c r="ES114" s="163">
        <f>ET114+EV114</f>
        <v>0</v>
      </c>
      <c r="ET114" s="164">
        <v>0</v>
      </c>
      <c r="EU114" s="164"/>
      <c r="EV114" s="164"/>
      <c r="EW114" s="164">
        <f t="shared" si="291"/>
        <v>100</v>
      </c>
      <c r="EX114" s="164">
        <v>100</v>
      </c>
      <c r="EY114" s="164"/>
      <c r="EZ114" s="164">
        <f>FA114</f>
        <v>-100</v>
      </c>
      <c r="FA114" s="164">
        <f>FD114-EW114</f>
        <v>-100</v>
      </c>
      <c r="FB114" s="164"/>
      <c r="FC114" s="163">
        <f>FD114</f>
        <v>0</v>
      </c>
      <c r="FD114" s="163">
        <v>0</v>
      </c>
      <c r="FE114" s="163"/>
      <c r="FF114" s="163"/>
      <c r="FG114" s="163">
        <f t="shared" si="292"/>
        <v>100</v>
      </c>
      <c r="FH114" s="163">
        <f>FP114-FD114</f>
        <v>100</v>
      </c>
      <c r="FI114" s="163"/>
      <c r="FJ114" s="163"/>
      <c r="FK114" s="163">
        <f t="shared" si="293"/>
        <v>0</v>
      </c>
      <c r="FL114" s="163"/>
      <c r="FM114" s="163"/>
      <c r="FN114" s="163"/>
      <c r="FO114" s="163">
        <f>FP114</f>
        <v>100</v>
      </c>
      <c r="FP114" s="163">
        <v>100</v>
      </c>
      <c r="FQ114" s="163"/>
      <c r="FR114" s="163"/>
      <c r="FS114" s="90">
        <f>FU114</f>
        <v>0</v>
      </c>
      <c r="FT114" s="518" t="e">
        <f t="shared" si="241"/>
        <v>#DIV/0!</v>
      </c>
      <c r="FU114" s="90">
        <v>0</v>
      </c>
      <c r="FV114" s="518" t="e">
        <f t="shared" si="242"/>
        <v>#DIV/0!</v>
      </c>
      <c r="FW114" s="87"/>
      <c r="FX114" s="665"/>
      <c r="FY114" s="90"/>
      <c r="FZ114" s="665"/>
      <c r="GA114" s="90">
        <f t="shared" si="247"/>
        <v>0</v>
      </c>
      <c r="GB114" s="518" t="e">
        <f t="shared" si="248"/>
        <v>#DIV/0!</v>
      </c>
      <c r="GC114" s="90">
        <v>0</v>
      </c>
      <c r="GD114" s="518" t="e">
        <f t="shared" si="249"/>
        <v>#DIV/0!</v>
      </c>
      <c r="GE114" s="87"/>
      <c r="GF114" s="515"/>
      <c r="GG114" s="87"/>
      <c r="GH114" s="515"/>
      <c r="GI114" s="90">
        <f>GK114</f>
        <v>0</v>
      </c>
      <c r="GJ114" s="518" t="e">
        <f t="shared" si="244"/>
        <v>#DIV/0!</v>
      </c>
      <c r="GK114" s="90">
        <v>0</v>
      </c>
      <c r="GL114" s="518" t="e">
        <f t="shared" si="245"/>
        <v>#DIV/0!</v>
      </c>
      <c r="GM114" s="90"/>
      <c r="GN114" s="518"/>
      <c r="GO114" s="90"/>
      <c r="GP114" s="518"/>
      <c r="GQ114" s="164"/>
      <c r="GR114" s="164"/>
      <c r="GS114" s="164"/>
      <c r="GT114" s="164"/>
      <c r="GU114" s="164">
        <f>GV114</f>
        <v>100</v>
      </c>
      <c r="GV114" s="164">
        <v>100</v>
      </c>
      <c r="GW114" s="164"/>
      <c r="GX114" s="164"/>
      <c r="GY114" s="164"/>
      <c r="GZ114" s="164"/>
      <c r="HA114" s="164"/>
      <c r="HB114" s="164"/>
      <c r="HC114" s="164"/>
      <c r="HD114" s="164"/>
      <c r="HE114" s="164"/>
      <c r="HF114" s="164"/>
      <c r="HG114" s="164">
        <f>HH114</f>
        <v>0</v>
      </c>
      <c r="HH114" s="164">
        <f>HP114-GV114</f>
        <v>0</v>
      </c>
      <c r="HI114" s="164"/>
      <c r="HJ114" s="164"/>
      <c r="HK114" s="164">
        <f>HL114</f>
        <v>0</v>
      </c>
      <c r="HL114" s="164">
        <f>IF114-GZ114</f>
        <v>0</v>
      </c>
      <c r="HM114" s="164"/>
      <c r="HN114" s="164"/>
      <c r="HO114" s="164">
        <f>HP114</f>
        <v>100</v>
      </c>
      <c r="HP114" s="164">
        <v>100</v>
      </c>
      <c r="HQ114" s="164"/>
      <c r="HR114" s="164"/>
      <c r="HS114" s="164">
        <f>HT114</f>
        <v>1100</v>
      </c>
      <c r="HT114" s="164">
        <f>100+1000</f>
        <v>1100</v>
      </c>
      <c r="HU114" s="164"/>
      <c r="HV114" s="164"/>
      <c r="HW114" s="164">
        <f>HX114</f>
        <v>0</v>
      </c>
      <c r="HX114" s="164">
        <f>IR114-HL114</f>
        <v>0</v>
      </c>
      <c r="HY114" s="164"/>
      <c r="HZ114" s="164"/>
      <c r="IA114" s="164">
        <f>IB114</f>
        <v>1100</v>
      </c>
      <c r="IB114" s="164">
        <v>1100</v>
      </c>
      <c r="IC114" s="164"/>
      <c r="ID114" s="164"/>
      <c r="IE114" s="185"/>
      <c r="IF114" s="170"/>
      <c r="IG114" s="170"/>
      <c r="IH114" s="170"/>
    </row>
    <row r="115" spans="2:249" s="171" customFormat="1" ht="22.5" hidden="1" customHeight="1" x14ac:dyDescent="0.25">
      <c r="B115" s="160"/>
      <c r="C115" s="161" t="s">
        <v>148</v>
      </c>
      <c r="D115" s="162"/>
      <c r="E115" s="163">
        <f t="shared" si="255"/>
        <v>0</v>
      </c>
      <c r="F115" s="163"/>
      <c r="G115" s="163"/>
      <c r="H115" s="163">
        <f t="shared" si="256"/>
        <v>0</v>
      </c>
      <c r="I115" s="163">
        <f>L115-F115</f>
        <v>0</v>
      </c>
      <c r="J115" s="163"/>
      <c r="K115" s="163">
        <f t="shared" si="257"/>
        <v>0</v>
      </c>
      <c r="L115" s="163"/>
      <c r="M115" s="163"/>
      <c r="N115" s="163">
        <f t="shared" si="258"/>
        <v>0</v>
      </c>
      <c r="O115" s="163">
        <f>R115-L115</f>
        <v>0</v>
      </c>
      <c r="P115" s="163"/>
      <c r="Q115" s="164">
        <f t="shared" si="259"/>
        <v>0</v>
      </c>
      <c r="R115" s="164"/>
      <c r="S115" s="164"/>
      <c r="T115" s="164">
        <f t="shared" si="260"/>
        <v>0</v>
      </c>
      <c r="U115" s="164"/>
      <c r="V115" s="164"/>
      <c r="W115" s="164">
        <f t="shared" si="261"/>
        <v>0</v>
      </c>
      <c r="X115" s="164">
        <f>AA115-U115</f>
        <v>0</v>
      </c>
      <c r="Y115" s="164"/>
      <c r="Z115" s="164">
        <f t="shared" si="262"/>
        <v>0</v>
      </c>
      <c r="AA115" s="164"/>
      <c r="AB115" s="164"/>
      <c r="AC115" s="164">
        <f>AD115+AE115</f>
        <v>0</v>
      </c>
      <c r="AD115" s="164"/>
      <c r="AE115" s="164"/>
      <c r="AF115" s="164">
        <f>AG115+AH115</f>
        <v>0</v>
      </c>
      <c r="AG115" s="164"/>
      <c r="AH115" s="164"/>
      <c r="AI115" s="164"/>
      <c r="AJ115" s="164"/>
      <c r="AK115" s="165">
        <f t="shared" si="264"/>
        <v>0</v>
      </c>
      <c r="AL115" s="165">
        <f t="shared" si="264"/>
        <v>0</v>
      </c>
      <c r="AM115" s="746"/>
      <c r="AN115" s="174"/>
      <c r="AO115" s="166">
        <v>1</v>
      </c>
      <c r="AP115" s="174"/>
      <c r="AQ115" s="174"/>
      <c r="AR115" s="174"/>
      <c r="AS115" s="164">
        <f t="shared" si="265"/>
        <v>0</v>
      </c>
      <c r="AT115" s="164"/>
      <c r="AU115" s="164"/>
      <c r="AV115" s="164">
        <f t="shared" si="266"/>
        <v>0</v>
      </c>
      <c r="AW115" s="164">
        <f>AZ115-AT115</f>
        <v>0</v>
      </c>
      <c r="AX115" s="164"/>
      <c r="AY115" s="164">
        <f t="shared" si="267"/>
        <v>0</v>
      </c>
      <c r="AZ115" s="164"/>
      <c r="BA115" s="164"/>
      <c r="BB115" s="164">
        <f t="shared" si="268"/>
        <v>0</v>
      </c>
      <c r="BC115" s="164"/>
      <c r="BD115" s="164"/>
      <c r="BE115" s="164">
        <f t="shared" si="269"/>
        <v>0</v>
      </c>
      <c r="BF115" s="164">
        <f>BW115-BC115</f>
        <v>0</v>
      </c>
      <c r="BG115" s="164"/>
      <c r="BH115" s="164">
        <f t="shared" si="270"/>
        <v>0</v>
      </c>
      <c r="BI115" s="164"/>
      <c r="BJ115" s="164"/>
      <c r="BK115" s="167">
        <v>1</v>
      </c>
      <c r="BL115" s="168">
        <f t="shared" si="271"/>
        <v>0</v>
      </c>
      <c r="BM115" s="168"/>
      <c r="BN115" s="168"/>
      <c r="BO115" s="168"/>
      <c r="BP115" s="168"/>
      <c r="BQ115" s="168"/>
      <c r="BR115" s="168"/>
      <c r="BS115" s="168"/>
      <c r="BT115" s="168"/>
      <c r="BU115" s="168"/>
      <c r="BV115" s="164">
        <f t="shared" si="272"/>
        <v>0</v>
      </c>
      <c r="BW115" s="164"/>
      <c r="BX115" s="164"/>
      <c r="BY115" s="164">
        <f t="shared" si="273"/>
        <v>0</v>
      </c>
      <c r="BZ115" s="164">
        <f>CC115-BW115</f>
        <v>0</v>
      </c>
      <c r="CA115" s="164"/>
      <c r="CB115" s="164">
        <f t="shared" si="274"/>
        <v>0</v>
      </c>
      <c r="CC115" s="164"/>
      <c r="CD115" s="164"/>
      <c r="CE115" s="168">
        <v>1</v>
      </c>
      <c r="CF115" s="168">
        <f t="shared" si="275"/>
        <v>0</v>
      </c>
      <c r="CG115" s="164"/>
      <c r="CH115" s="164">
        <f t="shared" si="276"/>
        <v>0</v>
      </c>
      <c r="CI115" s="164"/>
      <c r="CJ115" s="164"/>
      <c r="CK115" s="164">
        <f t="shared" si="277"/>
        <v>0</v>
      </c>
      <c r="CL115" s="164">
        <f>CR115-CI115</f>
        <v>0</v>
      </c>
      <c r="CM115" s="164"/>
      <c r="CN115" s="164"/>
      <c r="CO115" s="164"/>
      <c r="CP115" s="164"/>
      <c r="CQ115" s="164">
        <f t="shared" si="278"/>
        <v>0</v>
      </c>
      <c r="CR115" s="164"/>
      <c r="CS115" s="164"/>
      <c r="CT115" s="164">
        <f t="shared" si="279"/>
        <v>0</v>
      </c>
      <c r="CU115" s="164"/>
      <c r="CV115" s="164"/>
      <c r="CW115" s="164">
        <f t="shared" si="280"/>
        <v>0</v>
      </c>
      <c r="CX115" s="164"/>
      <c r="CY115" s="164"/>
      <c r="CZ115" s="164">
        <f t="shared" si="281"/>
        <v>0</v>
      </c>
      <c r="DA115" s="164"/>
      <c r="DB115" s="164"/>
      <c r="DC115" s="164"/>
      <c r="DD115" s="164"/>
      <c r="DE115" s="164"/>
      <c r="DF115" s="164">
        <f t="shared" si="282"/>
        <v>0</v>
      </c>
      <c r="DG115" s="164"/>
      <c r="DH115" s="164"/>
      <c r="DI115" s="164">
        <f t="shared" si="283"/>
        <v>0</v>
      </c>
      <c r="DJ115" s="164"/>
      <c r="DK115" s="164"/>
      <c r="DL115" s="164">
        <f t="shared" si="284"/>
        <v>0</v>
      </c>
      <c r="DM115" s="164"/>
      <c r="DN115" s="164"/>
      <c r="DO115" s="164">
        <f t="shared" si="285"/>
        <v>0</v>
      </c>
      <c r="DP115" s="164"/>
      <c r="DQ115" s="164"/>
      <c r="DR115" s="164">
        <f t="shared" si="286"/>
        <v>0</v>
      </c>
      <c r="DS115" s="164"/>
      <c r="DT115" s="164"/>
      <c r="DU115" s="164">
        <f t="shared" si="287"/>
        <v>0</v>
      </c>
      <c r="DV115" s="164"/>
      <c r="DW115" s="164"/>
      <c r="DX115" s="164">
        <f t="shared" si="288"/>
        <v>0</v>
      </c>
      <c r="DY115" s="164"/>
      <c r="DZ115" s="164"/>
      <c r="EA115" s="164"/>
      <c r="EB115" s="164"/>
      <c r="EC115" s="164"/>
      <c r="ED115" s="164"/>
      <c r="EE115" s="164"/>
      <c r="EF115" s="164"/>
      <c r="EG115" s="164"/>
      <c r="EH115" s="164"/>
      <c r="EI115" s="164"/>
      <c r="EJ115" s="164"/>
      <c r="EK115" s="164">
        <f t="shared" si="289"/>
        <v>0</v>
      </c>
      <c r="EL115" s="164"/>
      <c r="EM115" s="164"/>
      <c r="EN115" s="164"/>
      <c r="EO115" s="164">
        <f t="shared" si="290"/>
        <v>0</v>
      </c>
      <c r="EP115" s="164"/>
      <c r="EQ115" s="164"/>
      <c r="ER115" s="164"/>
      <c r="ES115" s="163"/>
      <c r="ET115" s="164"/>
      <c r="EU115" s="164"/>
      <c r="EV115" s="164"/>
      <c r="EW115" s="164">
        <f t="shared" si="291"/>
        <v>0</v>
      </c>
      <c r="EX115" s="164"/>
      <c r="EY115" s="164"/>
      <c r="EZ115" s="164"/>
      <c r="FA115" s="164"/>
      <c r="FB115" s="164"/>
      <c r="FC115" s="163"/>
      <c r="FD115" s="163"/>
      <c r="FE115" s="163"/>
      <c r="FF115" s="163"/>
      <c r="FG115" s="163">
        <f t="shared" si="292"/>
        <v>0</v>
      </c>
      <c r="FH115" s="163"/>
      <c r="FI115" s="163"/>
      <c r="FJ115" s="163"/>
      <c r="FK115" s="163">
        <f t="shared" si="293"/>
        <v>0</v>
      </c>
      <c r="FL115" s="163"/>
      <c r="FM115" s="163"/>
      <c r="FN115" s="163"/>
      <c r="FO115" s="163"/>
      <c r="FP115" s="163"/>
      <c r="FQ115" s="163"/>
      <c r="FR115" s="163"/>
      <c r="FS115" s="39">
        <f t="shared" si="195"/>
        <v>0</v>
      </c>
      <c r="FT115" s="485" t="e">
        <f t="shared" si="241"/>
        <v>#DIV/0!</v>
      </c>
      <c r="FU115" s="39">
        <v>0</v>
      </c>
      <c r="FV115" s="485" t="e">
        <f t="shared" si="242"/>
        <v>#DIV/0!</v>
      </c>
      <c r="FW115" s="38"/>
      <c r="FX115" s="660"/>
      <c r="FY115" s="39"/>
      <c r="FZ115" s="660"/>
      <c r="GA115" s="39">
        <f t="shared" si="247"/>
        <v>0</v>
      </c>
      <c r="GB115" s="485" t="e">
        <f t="shared" si="248"/>
        <v>#DIV/0!</v>
      </c>
      <c r="GC115" s="39">
        <v>0</v>
      </c>
      <c r="GD115" s="485" t="e">
        <f t="shared" si="249"/>
        <v>#DIV/0!</v>
      </c>
      <c r="GE115" s="82"/>
      <c r="GF115" s="498"/>
      <c r="GG115" s="82"/>
      <c r="GH115" s="498"/>
      <c r="GI115" s="90" t="e">
        <f t="shared" si="243"/>
        <v>#REF!</v>
      </c>
      <c r="GJ115" s="485" t="e">
        <f t="shared" si="244"/>
        <v>#REF!</v>
      </c>
      <c r="GK115" s="90" t="e">
        <f>#REF!+GK413</f>
        <v>#REF!</v>
      </c>
      <c r="GL115" s="485" t="e">
        <f t="shared" si="245"/>
        <v>#REF!</v>
      </c>
      <c r="GM115" s="90"/>
      <c r="GN115" s="485"/>
      <c r="GO115" s="90"/>
      <c r="GP115" s="485"/>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c r="HX115" s="164"/>
      <c r="HY115" s="164"/>
      <c r="HZ115" s="164"/>
      <c r="IA115" s="164"/>
      <c r="IB115" s="164"/>
      <c r="IC115" s="164"/>
      <c r="ID115" s="164"/>
      <c r="IE115" s="169"/>
      <c r="IF115" s="170"/>
      <c r="IG115" s="170"/>
      <c r="IH115" s="170"/>
    </row>
    <row r="116" spans="2:249" s="213" customFormat="1" ht="91.5" hidden="1" customHeight="1" x14ac:dyDescent="0.25">
      <c r="B116" s="178" t="s">
        <v>203</v>
      </c>
      <c r="C116" s="206" t="s">
        <v>204</v>
      </c>
      <c r="D116" s="179" t="s">
        <v>205</v>
      </c>
      <c r="E116" s="180">
        <f t="shared" si="255"/>
        <v>0</v>
      </c>
      <c r="F116" s="210">
        <f>SUM(F117:F118)</f>
        <v>0</v>
      </c>
      <c r="G116" s="210"/>
      <c r="H116" s="180">
        <f t="shared" si="256"/>
        <v>0</v>
      </c>
      <c r="I116" s="210">
        <f>SUM(I117:I118)</f>
        <v>0</v>
      </c>
      <c r="J116" s="210"/>
      <c r="K116" s="180">
        <f t="shared" si="257"/>
        <v>0</v>
      </c>
      <c r="L116" s="210">
        <f>SUM(L117:L118)</f>
        <v>0</v>
      </c>
      <c r="M116" s="210"/>
      <c r="N116" s="180">
        <f t="shared" si="258"/>
        <v>0</v>
      </c>
      <c r="O116" s="210">
        <f>SUM(O117:O118)</f>
        <v>0</v>
      </c>
      <c r="P116" s="210"/>
      <c r="Q116" s="181">
        <f t="shared" si="259"/>
        <v>0</v>
      </c>
      <c r="R116" s="182">
        <f>SUM(R117:R118)</f>
        <v>0</v>
      </c>
      <c r="S116" s="182"/>
      <c r="T116" s="181">
        <f t="shared" si="260"/>
        <v>0</v>
      </c>
      <c r="U116" s="182">
        <f>SUM(U117:U118)</f>
        <v>0</v>
      </c>
      <c r="V116" s="182"/>
      <c r="W116" s="181">
        <f t="shared" si="261"/>
        <v>0</v>
      </c>
      <c r="X116" s="182">
        <f>SUM(X117:X118)</f>
        <v>0</v>
      </c>
      <c r="Y116" s="182"/>
      <c r="Z116" s="181">
        <f t="shared" si="262"/>
        <v>0</v>
      </c>
      <c r="AA116" s="182">
        <f t="shared" ref="AA116:AH116" si="296">SUM(AA117:AA118)</f>
        <v>0</v>
      </c>
      <c r="AB116" s="182">
        <f t="shared" si="296"/>
        <v>0</v>
      </c>
      <c r="AC116" s="182">
        <f t="shared" si="296"/>
        <v>0</v>
      </c>
      <c r="AD116" s="182">
        <f t="shared" si="296"/>
        <v>0</v>
      </c>
      <c r="AE116" s="182">
        <f t="shared" si="296"/>
        <v>0</v>
      </c>
      <c r="AF116" s="182">
        <f t="shared" si="296"/>
        <v>0</v>
      </c>
      <c r="AG116" s="182">
        <f t="shared" si="296"/>
        <v>0</v>
      </c>
      <c r="AH116" s="182">
        <f t="shared" si="296"/>
        <v>0</v>
      </c>
      <c r="AI116" s="182">
        <v>0</v>
      </c>
      <c r="AJ116" s="182">
        <f>SUM(AJ117:AJ118)</f>
        <v>0</v>
      </c>
      <c r="AK116" s="182">
        <f t="shared" si="264"/>
        <v>0</v>
      </c>
      <c r="AL116" s="182">
        <f t="shared" si="264"/>
        <v>0</v>
      </c>
      <c r="AM116" s="746" t="s">
        <v>206</v>
      </c>
      <c r="AN116" s="190" t="s">
        <v>206</v>
      </c>
      <c r="AO116" s="109">
        <v>1</v>
      </c>
      <c r="AP116" s="190"/>
      <c r="AQ116" s="190"/>
      <c r="AR116" s="190"/>
      <c r="AS116" s="181">
        <f t="shared" si="265"/>
        <v>1000</v>
      </c>
      <c r="AT116" s="182">
        <f>SUM(AT117:AT118)</f>
        <v>1000</v>
      </c>
      <c r="AU116" s="182">
        <f>SUM(AU117:AU118)</f>
        <v>0</v>
      </c>
      <c r="AV116" s="181">
        <f t="shared" si="266"/>
        <v>-1000</v>
      </c>
      <c r="AW116" s="182">
        <f>SUM(AW117:AW118)</f>
        <v>-1000</v>
      </c>
      <c r="AX116" s="182"/>
      <c r="AY116" s="181">
        <f t="shared" si="267"/>
        <v>0</v>
      </c>
      <c r="AZ116" s="182">
        <f>SUM(AZ117:AZ118)</f>
        <v>0</v>
      </c>
      <c r="BA116" s="182">
        <f>SUM(BA117:BA118)</f>
        <v>0</v>
      </c>
      <c r="BB116" s="181">
        <f t="shared" si="268"/>
        <v>20000</v>
      </c>
      <c r="BC116" s="182">
        <f>SUM(BC117:BC118)</f>
        <v>20000</v>
      </c>
      <c r="BD116" s="182"/>
      <c r="BE116" s="181">
        <f t="shared" si="269"/>
        <v>0</v>
      </c>
      <c r="BF116" s="182">
        <f>SUM(BF117:BF118)</f>
        <v>0</v>
      </c>
      <c r="BG116" s="182"/>
      <c r="BH116" s="181">
        <f t="shared" si="270"/>
        <v>0</v>
      </c>
      <c r="BI116" s="182">
        <f>SUM(BI117:BI118)</f>
        <v>0</v>
      </c>
      <c r="BJ116" s="182">
        <f>SUM(BJ117:BJ118)</f>
        <v>0</v>
      </c>
      <c r="BK116" s="110">
        <v>1</v>
      </c>
      <c r="BL116" s="106">
        <f t="shared" si="271"/>
        <v>0</v>
      </c>
      <c r="BM116" s="106"/>
      <c r="BN116" s="106"/>
      <c r="BO116" s="106"/>
      <c r="BP116" s="106"/>
      <c r="BQ116" s="106"/>
      <c r="BR116" s="106"/>
      <c r="BS116" s="106">
        <f>BS117</f>
        <v>0</v>
      </c>
      <c r="BT116" s="106">
        <f>BT117</f>
        <v>0</v>
      </c>
      <c r="BU116" s="106">
        <f>BU117</f>
        <v>0</v>
      </c>
      <c r="BV116" s="181">
        <f t="shared" si="272"/>
        <v>20000</v>
      </c>
      <c r="BW116" s="182">
        <f>SUM(BW117:BW118)</f>
        <v>20000</v>
      </c>
      <c r="BX116" s="182"/>
      <c r="BY116" s="181">
        <f t="shared" si="273"/>
        <v>0</v>
      </c>
      <c r="BZ116" s="182">
        <f>SUM(BZ117:BZ118)</f>
        <v>0</v>
      </c>
      <c r="CA116" s="182"/>
      <c r="CB116" s="181">
        <f t="shared" si="274"/>
        <v>0</v>
      </c>
      <c r="CC116" s="182">
        <f>SUM(CC117:CC118)</f>
        <v>0</v>
      </c>
      <c r="CD116" s="182"/>
      <c r="CE116" s="106">
        <v>1</v>
      </c>
      <c r="CF116" s="106">
        <f t="shared" si="275"/>
        <v>0</v>
      </c>
      <c r="CG116" s="195"/>
      <c r="CH116" s="181">
        <f t="shared" si="276"/>
        <v>30000</v>
      </c>
      <c r="CI116" s="182">
        <f>SUM(CI117:CI118)</f>
        <v>30000</v>
      </c>
      <c r="CJ116" s="182">
        <f>SUM(CJ117:CJ118)</f>
        <v>0</v>
      </c>
      <c r="CK116" s="181">
        <f t="shared" si="277"/>
        <v>0</v>
      </c>
      <c r="CL116" s="182">
        <f>SUM(CL117:CL118)</f>
        <v>0</v>
      </c>
      <c r="CM116" s="182"/>
      <c r="CN116" s="182"/>
      <c r="CO116" s="182"/>
      <c r="CP116" s="182"/>
      <c r="CQ116" s="181">
        <f t="shared" si="278"/>
        <v>30000</v>
      </c>
      <c r="CR116" s="182">
        <f>SUM(CR117:CR118)</f>
        <v>30000</v>
      </c>
      <c r="CS116" s="182">
        <f>SUM(CS117:CS118)</f>
        <v>0</v>
      </c>
      <c r="CT116" s="181">
        <f t="shared" si="279"/>
        <v>0</v>
      </c>
      <c r="CU116" s="182"/>
      <c r="CV116" s="182"/>
      <c r="CW116" s="181">
        <f t="shared" si="280"/>
        <v>0</v>
      </c>
      <c r="CX116" s="182">
        <f>SUM(CX117:CX118)</f>
        <v>0</v>
      </c>
      <c r="CY116" s="182"/>
      <c r="CZ116" s="181">
        <f t="shared" si="281"/>
        <v>1000</v>
      </c>
      <c r="DA116" s="182">
        <f>SUM(DA117:DA118)</f>
        <v>1000</v>
      </c>
      <c r="DB116" s="182">
        <f>SUM(DB117:DB118)</f>
        <v>0</v>
      </c>
      <c r="DC116" s="182"/>
      <c r="DD116" s="182"/>
      <c r="DE116" s="182"/>
      <c r="DF116" s="181">
        <f t="shared" si="282"/>
        <v>0</v>
      </c>
      <c r="DG116" s="182">
        <f>SUM(DG117:DG118)</f>
        <v>0</v>
      </c>
      <c r="DH116" s="182"/>
      <c r="DI116" s="181">
        <f t="shared" si="283"/>
        <v>0</v>
      </c>
      <c r="DJ116" s="182">
        <f>SUM(DJ117:DJ118)</f>
        <v>0</v>
      </c>
      <c r="DK116" s="182"/>
      <c r="DL116" s="181">
        <f t="shared" si="284"/>
        <v>0</v>
      </c>
      <c r="DM116" s="182">
        <f>SUM(DM117:DM118)</f>
        <v>0</v>
      </c>
      <c r="DN116" s="182"/>
      <c r="DO116" s="181">
        <f t="shared" si="285"/>
        <v>0</v>
      </c>
      <c r="DP116" s="182">
        <f>SUM(DP117:DP118)</f>
        <v>0</v>
      </c>
      <c r="DQ116" s="182"/>
      <c r="DR116" s="181">
        <f t="shared" si="286"/>
        <v>0</v>
      </c>
      <c r="DS116" s="182">
        <f>SUM(DS117:DS118)</f>
        <v>0</v>
      </c>
      <c r="DT116" s="182"/>
      <c r="DU116" s="181">
        <f t="shared" si="287"/>
        <v>1000</v>
      </c>
      <c r="DV116" s="182">
        <f>SUM(DV117:DV118)</f>
        <v>1000</v>
      </c>
      <c r="DW116" s="182"/>
      <c r="DX116" s="181">
        <f t="shared" si="288"/>
        <v>1000</v>
      </c>
      <c r="DY116" s="182">
        <f>SUM(DY117:DY118)</f>
        <v>1000</v>
      </c>
      <c r="DZ116" s="182">
        <f>SUM(DZ117:DZ118)</f>
        <v>0</v>
      </c>
      <c r="EA116" s="182"/>
      <c r="EB116" s="182"/>
      <c r="EC116" s="182"/>
      <c r="ED116" s="182"/>
      <c r="EE116" s="182"/>
      <c r="EF116" s="182"/>
      <c r="EG116" s="106">
        <f>EH116</f>
        <v>0</v>
      </c>
      <c r="EH116" s="106">
        <f>EH117</f>
        <v>0</v>
      </c>
      <c r="EI116" s="106"/>
      <c r="EJ116" s="182"/>
      <c r="EK116" s="181">
        <f t="shared" si="289"/>
        <v>0</v>
      </c>
      <c r="EL116" s="182">
        <f>SUM(EL117:EL118)</f>
        <v>0</v>
      </c>
      <c r="EM116" s="182"/>
      <c r="EN116" s="182"/>
      <c r="EO116" s="181">
        <f t="shared" si="290"/>
        <v>0</v>
      </c>
      <c r="EP116" s="182">
        <f>SUM(EP117:EP118)</f>
        <v>0</v>
      </c>
      <c r="EQ116" s="182"/>
      <c r="ER116" s="182"/>
      <c r="ES116" s="104">
        <f>ET116+EV116</f>
        <v>0</v>
      </c>
      <c r="ET116" s="106">
        <f>ET117+ET118</f>
        <v>0</v>
      </c>
      <c r="EU116" s="182"/>
      <c r="EV116" s="182"/>
      <c r="EW116" s="181">
        <f t="shared" si="291"/>
        <v>1000</v>
      </c>
      <c r="EX116" s="182">
        <f>SUM(EX117:EX118)</f>
        <v>1000</v>
      </c>
      <c r="EY116" s="182">
        <f>SUM(EY117:EY118)</f>
        <v>0</v>
      </c>
      <c r="EZ116" s="182"/>
      <c r="FA116" s="182"/>
      <c r="FB116" s="182"/>
      <c r="FC116" s="104">
        <f>FD116</f>
        <v>0</v>
      </c>
      <c r="FD116" s="104">
        <f>FD117</f>
        <v>0</v>
      </c>
      <c r="FE116" s="104"/>
      <c r="FF116" s="210"/>
      <c r="FG116" s="180">
        <f t="shared" si="292"/>
        <v>0</v>
      </c>
      <c r="FH116" s="210">
        <f>SUM(FH117:FH118)</f>
        <v>0</v>
      </c>
      <c r="FI116" s="210"/>
      <c r="FJ116" s="210"/>
      <c r="FK116" s="180">
        <f t="shared" si="293"/>
        <v>0</v>
      </c>
      <c r="FL116" s="210">
        <f>SUM(FL117:FL118)</f>
        <v>0</v>
      </c>
      <c r="FM116" s="210"/>
      <c r="FN116" s="210"/>
      <c r="FO116" s="104">
        <f>FP116</f>
        <v>0</v>
      </c>
      <c r="FP116" s="104">
        <f>FP117</f>
        <v>0</v>
      </c>
      <c r="FQ116" s="104"/>
      <c r="FR116" s="210"/>
      <c r="FS116" s="39">
        <f t="shared" si="195"/>
        <v>0</v>
      </c>
      <c r="FT116" s="485" t="e">
        <f t="shared" si="241"/>
        <v>#DIV/0!</v>
      </c>
      <c r="FU116" s="39">
        <v>0</v>
      </c>
      <c r="FV116" s="485" t="e">
        <f t="shared" si="242"/>
        <v>#DIV/0!</v>
      </c>
      <c r="FW116" s="38"/>
      <c r="FX116" s="660"/>
      <c r="FY116" s="39"/>
      <c r="FZ116" s="660"/>
      <c r="GA116" s="39">
        <f t="shared" si="247"/>
        <v>0</v>
      </c>
      <c r="GB116" s="485" t="e">
        <f t="shared" si="248"/>
        <v>#DIV/0!</v>
      </c>
      <c r="GC116" s="39">
        <v>0</v>
      </c>
      <c r="GD116" s="485" t="e">
        <f t="shared" si="249"/>
        <v>#DIV/0!</v>
      </c>
      <c r="GE116" s="82"/>
      <c r="GF116" s="498"/>
      <c r="GG116" s="82"/>
      <c r="GH116" s="498"/>
      <c r="GI116" s="90" t="e">
        <f t="shared" si="243"/>
        <v>#REF!</v>
      </c>
      <c r="GJ116" s="485" t="e">
        <f t="shared" si="244"/>
        <v>#REF!</v>
      </c>
      <c r="GK116" s="90" t="e">
        <f>#REF!+GK414</f>
        <v>#REF!</v>
      </c>
      <c r="GL116" s="485" t="e">
        <f t="shared" si="245"/>
        <v>#REF!</v>
      </c>
      <c r="GM116" s="90"/>
      <c r="GN116" s="485"/>
      <c r="GO116" s="90"/>
      <c r="GP116" s="485"/>
      <c r="GQ116" s="182"/>
      <c r="GR116" s="182"/>
      <c r="GS116" s="182"/>
      <c r="GT116" s="182"/>
      <c r="GU116" s="106">
        <f>GV116</f>
        <v>0</v>
      </c>
      <c r="GV116" s="106">
        <f>GV117</f>
        <v>0</v>
      </c>
      <c r="GW116" s="106"/>
      <c r="GX116" s="182"/>
      <c r="GY116" s="182"/>
      <c r="GZ116" s="182"/>
      <c r="HA116" s="182"/>
      <c r="HB116" s="182"/>
      <c r="HC116" s="182"/>
      <c r="HD116" s="182"/>
      <c r="HE116" s="182"/>
      <c r="HF116" s="182"/>
      <c r="HG116" s="106">
        <f>HH116</f>
        <v>0</v>
      </c>
      <c r="HH116" s="106">
        <f>HH117</f>
        <v>0</v>
      </c>
      <c r="HI116" s="106"/>
      <c r="HJ116" s="182"/>
      <c r="HK116" s="106">
        <f>HL116</f>
        <v>0</v>
      </c>
      <c r="HL116" s="106">
        <f>HL117</f>
        <v>0</v>
      </c>
      <c r="HM116" s="106"/>
      <c r="HN116" s="182"/>
      <c r="HO116" s="106">
        <f>HP116</f>
        <v>0</v>
      </c>
      <c r="HP116" s="106">
        <f>HP117</f>
        <v>0</v>
      </c>
      <c r="HQ116" s="106"/>
      <c r="HR116" s="182"/>
      <c r="HS116" s="106">
        <f>HT116</f>
        <v>0</v>
      </c>
      <c r="HT116" s="106">
        <f>HT117</f>
        <v>0</v>
      </c>
      <c r="HU116" s="106"/>
      <c r="HV116" s="182"/>
      <c r="HW116" s="106">
        <f>HX116</f>
        <v>0</v>
      </c>
      <c r="HX116" s="106">
        <f>HX117</f>
        <v>0</v>
      </c>
      <c r="HY116" s="106"/>
      <c r="HZ116" s="182"/>
      <c r="IA116" s="106">
        <f>IB116</f>
        <v>0</v>
      </c>
      <c r="IB116" s="106">
        <f>IB117</f>
        <v>0</v>
      </c>
      <c r="IC116" s="106"/>
      <c r="ID116" s="182"/>
      <c r="IE116" s="196" t="s">
        <v>207</v>
      </c>
      <c r="IF116" s="211"/>
      <c r="IG116" s="211"/>
      <c r="IH116" s="211"/>
    </row>
    <row r="117" spans="2:249" s="171" customFormat="1" ht="29.25" hidden="1" customHeight="1" x14ac:dyDescent="0.25">
      <c r="B117" s="160"/>
      <c r="C117" s="161" t="s">
        <v>146</v>
      </c>
      <c r="D117" s="162"/>
      <c r="E117" s="163">
        <f t="shared" si="255"/>
        <v>0</v>
      </c>
      <c r="F117" s="163"/>
      <c r="G117" s="163"/>
      <c r="H117" s="163">
        <f t="shared" si="256"/>
        <v>0</v>
      </c>
      <c r="I117" s="163">
        <f>L117-F117</f>
        <v>0</v>
      </c>
      <c r="J117" s="163"/>
      <c r="K117" s="163">
        <f t="shared" si="257"/>
        <v>0</v>
      </c>
      <c r="L117" s="163"/>
      <c r="M117" s="163"/>
      <c r="N117" s="163">
        <f t="shared" si="258"/>
        <v>0</v>
      </c>
      <c r="O117" s="163">
        <f>R117-L117</f>
        <v>0</v>
      </c>
      <c r="P117" s="163"/>
      <c r="Q117" s="164">
        <f t="shared" si="259"/>
        <v>0</v>
      </c>
      <c r="R117" s="164"/>
      <c r="S117" s="164"/>
      <c r="T117" s="164">
        <f t="shared" si="260"/>
        <v>0</v>
      </c>
      <c r="U117" s="164"/>
      <c r="V117" s="164"/>
      <c r="W117" s="164">
        <f t="shared" si="261"/>
        <v>0</v>
      </c>
      <c r="X117" s="164">
        <f>AA117-U117</f>
        <v>0</v>
      </c>
      <c r="Y117" s="164"/>
      <c r="Z117" s="164">
        <f t="shared" si="262"/>
        <v>0</v>
      </c>
      <c r="AA117" s="164"/>
      <c r="AB117" s="164"/>
      <c r="AC117" s="164">
        <f>AD117+AE117</f>
        <v>0</v>
      </c>
      <c r="AD117" s="164"/>
      <c r="AE117" s="164"/>
      <c r="AF117" s="164">
        <f>AG117+AH117</f>
        <v>0</v>
      </c>
      <c r="AG117" s="164"/>
      <c r="AH117" s="164"/>
      <c r="AI117" s="164"/>
      <c r="AJ117" s="164"/>
      <c r="AK117" s="165">
        <f t="shared" si="264"/>
        <v>0</v>
      </c>
      <c r="AL117" s="165">
        <f t="shared" si="264"/>
        <v>0</v>
      </c>
      <c r="AM117" s="746"/>
      <c r="AN117" s="174"/>
      <c r="AO117" s="166">
        <v>1</v>
      </c>
      <c r="AP117" s="174"/>
      <c r="AQ117" s="174"/>
      <c r="AR117" s="174"/>
      <c r="AS117" s="164">
        <f t="shared" si="265"/>
        <v>1000</v>
      </c>
      <c r="AT117" s="164">
        <v>1000</v>
      </c>
      <c r="AU117" s="164"/>
      <c r="AV117" s="164">
        <f t="shared" si="266"/>
        <v>-1000</v>
      </c>
      <c r="AW117" s="164">
        <v>-1000</v>
      </c>
      <c r="AX117" s="164"/>
      <c r="AY117" s="164">
        <f t="shared" si="267"/>
        <v>0</v>
      </c>
      <c r="AZ117" s="164">
        <f>AT117+AW117</f>
        <v>0</v>
      </c>
      <c r="BA117" s="164"/>
      <c r="BB117" s="164">
        <f t="shared" si="268"/>
        <v>20000</v>
      </c>
      <c r="BC117" s="164">
        <v>20000</v>
      </c>
      <c r="BD117" s="164"/>
      <c r="BE117" s="164">
        <f t="shared" si="269"/>
        <v>0</v>
      </c>
      <c r="BF117" s="164">
        <f>BW117-BC117</f>
        <v>0</v>
      </c>
      <c r="BG117" s="164"/>
      <c r="BH117" s="164">
        <f t="shared" si="270"/>
        <v>0</v>
      </c>
      <c r="BI117" s="164">
        <v>0</v>
      </c>
      <c r="BJ117" s="164"/>
      <c r="BK117" s="167">
        <v>1</v>
      </c>
      <c r="BL117" s="168">
        <f t="shared" si="271"/>
        <v>0</v>
      </c>
      <c r="BM117" s="168"/>
      <c r="BN117" s="168"/>
      <c r="BO117" s="168"/>
      <c r="BP117" s="168"/>
      <c r="BQ117" s="168"/>
      <c r="BR117" s="168"/>
      <c r="BS117" s="168">
        <f>BT117+BU117</f>
        <v>0</v>
      </c>
      <c r="BT117" s="168">
        <f>AZ117-BN117-BQ117</f>
        <v>0</v>
      </c>
      <c r="BU117" s="168"/>
      <c r="BV117" s="164">
        <f t="shared" si="272"/>
        <v>20000</v>
      </c>
      <c r="BW117" s="164">
        <v>20000</v>
      </c>
      <c r="BX117" s="164"/>
      <c r="BY117" s="164">
        <f t="shared" si="273"/>
        <v>0</v>
      </c>
      <c r="BZ117" s="164">
        <f>CC117-BI117</f>
        <v>0</v>
      </c>
      <c r="CA117" s="164"/>
      <c r="CB117" s="164">
        <f t="shared" si="274"/>
        <v>0</v>
      </c>
      <c r="CC117" s="164">
        <v>0</v>
      </c>
      <c r="CD117" s="164"/>
      <c r="CE117" s="168">
        <v>1</v>
      </c>
      <c r="CF117" s="168">
        <f t="shared" si="275"/>
        <v>0</v>
      </c>
      <c r="CG117" s="164"/>
      <c r="CH117" s="164">
        <f t="shared" si="276"/>
        <v>30000</v>
      </c>
      <c r="CI117" s="164">
        <v>30000</v>
      </c>
      <c r="CJ117" s="164"/>
      <c r="CK117" s="164">
        <f t="shared" si="277"/>
        <v>0</v>
      </c>
      <c r="CL117" s="164">
        <f>CR117-CI117</f>
        <v>0</v>
      </c>
      <c r="CM117" s="164"/>
      <c r="CN117" s="164"/>
      <c r="CO117" s="164"/>
      <c r="CP117" s="164"/>
      <c r="CQ117" s="164">
        <f t="shared" si="278"/>
        <v>30000</v>
      </c>
      <c r="CR117" s="164">
        <v>30000</v>
      </c>
      <c r="CS117" s="164"/>
      <c r="CT117" s="164">
        <f t="shared" si="279"/>
        <v>0</v>
      </c>
      <c r="CU117" s="164"/>
      <c r="CV117" s="164"/>
      <c r="CW117" s="164">
        <f t="shared" si="280"/>
        <v>0</v>
      </c>
      <c r="CX117" s="164">
        <v>0</v>
      </c>
      <c r="CY117" s="164"/>
      <c r="CZ117" s="164">
        <f t="shared" si="281"/>
        <v>1000</v>
      </c>
      <c r="DA117" s="164">
        <v>1000</v>
      </c>
      <c r="DB117" s="164"/>
      <c r="DC117" s="164"/>
      <c r="DD117" s="164"/>
      <c r="DE117" s="164"/>
      <c r="DF117" s="164">
        <f t="shared" si="282"/>
        <v>0</v>
      </c>
      <c r="DG117" s="164">
        <v>0</v>
      </c>
      <c r="DH117" s="164"/>
      <c r="DI117" s="164">
        <f t="shared" si="283"/>
        <v>0</v>
      </c>
      <c r="DJ117" s="164">
        <v>0</v>
      </c>
      <c r="DK117" s="164"/>
      <c r="DL117" s="164">
        <f t="shared" si="284"/>
        <v>0</v>
      </c>
      <c r="DM117" s="164">
        <v>0</v>
      </c>
      <c r="DN117" s="164"/>
      <c r="DO117" s="164">
        <f t="shared" si="285"/>
        <v>0</v>
      </c>
      <c r="DP117" s="164">
        <v>0</v>
      </c>
      <c r="DQ117" s="164"/>
      <c r="DR117" s="164">
        <f t="shared" si="286"/>
        <v>0</v>
      </c>
      <c r="DS117" s="164">
        <v>0</v>
      </c>
      <c r="DT117" s="164"/>
      <c r="DU117" s="164">
        <f t="shared" si="287"/>
        <v>1000</v>
      </c>
      <c r="DV117" s="164">
        <v>1000</v>
      </c>
      <c r="DW117" s="164"/>
      <c r="DX117" s="164">
        <f t="shared" si="288"/>
        <v>1000</v>
      </c>
      <c r="DY117" s="164">
        <v>1000</v>
      </c>
      <c r="DZ117" s="164"/>
      <c r="EA117" s="164"/>
      <c r="EB117" s="164"/>
      <c r="EC117" s="164"/>
      <c r="ED117" s="164"/>
      <c r="EE117" s="164"/>
      <c r="EF117" s="164"/>
      <c r="EG117" s="164">
        <f>EH117</f>
        <v>0</v>
      </c>
      <c r="EH117" s="164">
        <v>0</v>
      </c>
      <c r="EI117" s="164"/>
      <c r="EJ117" s="164"/>
      <c r="EK117" s="164">
        <f t="shared" si="289"/>
        <v>0</v>
      </c>
      <c r="EL117" s="164">
        <f>ET117-EH117</f>
        <v>0</v>
      </c>
      <c r="EM117" s="164"/>
      <c r="EN117" s="164"/>
      <c r="EO117" s="164">
        <f t="shared" si="290"/>
        <v>0</v>
      </c>
      <c r="EP117" s="164"/>
      <c r="EQ117" s="164"/>
      <c r="ER117" s="164"/>
      <c r="ES117" s="163">
        <f>ET117+EV117</f>
        <v>0</v>
      </c>
      <c r="ET117" s="164">
        <v>0</v>
      </c>
      <c r="EU117" s="164"/>
      <c r="EV117" s="164"/>
      <c r="EW117" s="164">
        <f t="shared" si="291"/>
        <v>1000</v>
      </c>
      <c r="EX117" s="164">
        <v>1000</v>
      </c>
      <c r="EY117" s="164"/>
      <c r="EZ117" s="164"/>
      <c r="FA117" s="164"/>
      <c r="FB117" s="164"/>
      <c r="FC117" s="163">
        <f>FD117</f>
        <v>0</v>
      </c>
      <c r="FD117" s="163">
        <v>0</v>
      </c>
      <c r="FE117" s="163"/>
      <c r="FF117" s="163"/>
      <c r="FG117" s="163">
        <f t="shared" si="292"/>
        <v>0</v>
      </c>
      <c r="FH117" s="163">
        <f>FP117-FD117</f>
        <v>0</v>
      </c>
      <c r="FI117" s="163"/>
      <c r="FJ117" s="163"/>
      <c r="FK117" s="163">
        <f t="shared" si="293"/>
        <v>0</v>
      </c>
      <c r="FL117" s="163"/>
      <c r="FM117" s="163"/>
      <c r="FN117" s="163"/>
      <c r="FO117" s="163">
        <f>FP117</f>
        <v>0</v>
      </c>
      <c r="FP117" s="163">
        <v>0</v>
      </c>
      <c r="FQ117" s="163"/>
      <c r="FR117" s="163"/>
      <c r="FS117" s="39">
        <f t="shared" si="195"/>
        <v>0</v>
      </c>
      <c r="FT117" s="485" t="e">
        <f t="shared" si="241"/>
        <v>#DIV/0!</v>
      </c>
      <c r="FU117" s="39">
        <v>0</v>
      </c>
      <c r="FV117" s="485" t="e">
        <f t="shared" si="242"/>
        <v>#DIV/0!</v>
      </c>
      <c r="FW117" s="38"/>
      <c r="FX117" s="660"/>
      <c r="FY117" s="39"/>
      <c r="FZ117" s="660"/>
      <c r="GA117" s="39">
        <f t="shared" si="247"/>
        <v>0</v>
      </c>
      <c r="GB117" s="485" t="e">
        <f t="shared" si="248"/>
        <v>#DIV/0!</v>
      </c>
      <c r="GC117" s="39">
        <v>0</v>
      </c>
      <c r="GD117" s="485" t="e">
        <f t="shared" si="249"/>
        <v>#DIV/0!</v>
      </c>
      <c r="GE117" s="82"/>
      <c r="GF117" s="498"/>
      <c r="GG117" s="82"/>
      <c r="GH117" s="498"/>
      <c r="GI117" s="90">
        <f t="shared" si="243"/>
        <v>0</v>
      </c>
      <c r="GJ117" s="485" t="e">
        <f t="shared" si="244"/>
        <v>#DIV/0!</v>
      </c>
      <c r="GK117" s="90">
        <f>GK365+GK415</f>
        <v>0</v>
      </c>
      <c r="GL117" s="485" t="e">
        <f t="shared" si="245"/>
        <v>#DIV/0!</v>
      </c>
      <c r="GM117" s="90"/>
      <c r="GN117" s="485"/>
      <c r="GO117" s="90"/>
      <c r="GP117" s="485"/>
      <c r="GQ117" s="164"/>
      <c r="GR117" s="164"/>
      <c r="GS117" s="164"/>
      <c r="GT117" s="164"/>
      <c r="GU117" s="164">
        <f>GV117</f>
        <v>0</v>
      </c>
      <c r="GV117" s="164">
        <v>0</v>
      </c>
      <c r="GW117" s="164"/>
      <c r="GX117" s="164"/>
      <c r="GY117" s="164"/>
      <c r="GZ117" s="164"/>
      <c r="HA117" s="164"/>
      <c r="HB117" s="164"/>
      <c r="HC117" s="164"/>
      <c r="HD117" s="164"/>
      <c r="HE117" s="164"/>
      <c r="HF117" s="164"/>
      <c r="HG117" s="164">
        <f>HH117</f>
        <v>0</v>
      </c>
      <c r="HH117" s="164">
        <v>0</v>
      </c>
      <c r="HI117" s="164"/>
      <c r="HJ117" s="164"/>
      <c r="HK117" s="164">
        <f>HL117</f>
        <v>0</v>
      </c>
      <c r="HL117" s="164">
        <v>0</v>
      </c>
      <c r="HM117" s="164"/>
      <c r="HN117" s="164"/>
      <c r="HO117" s="164">
        <f>HP117</f>
        <v>0</v>
      </c>
      <c r="HP117" s="164">
        <v>0</v>
      </c>
      <c r="HQ117" s="164"/>
      <c r="HR117" s="164"/>
      <c r="HS117" s="164">
        <f>HT117</f>
        <v>0</v>
      </c>
      <c r="HT117" s="164">
        <v>0</v>
      </c>
      <c r="HU117" s="164"/>
      <c r="HV117" s="164"/>
      <c r="HW117" s="164">
        <f>HX117</f>
        <v>0</v>
      </c>
      <c r="HX117" s="164">
        <v>0</v>
      </c>
      <c r="HY117" s="164"/>
      <c r="HZ117" s="164"/>
      <c r="IA117" s="164">
        <f>IB117</f>
        <v>0</v>
      </c>
      <c r="IB117" s="164">
        <v>0</v>
      </c>
      <c r="IC117" s="164"/>
      <c r="ID117" s="164"/>
      <c r="IE117" s="169"/>
      <c r="IF117" s="170"/>
      <c r="IG117" s="170"/>
      <c r="IH117" s="170"/>
    </row>
    <row r="118" spans="2:249" s="171" customFormat="1" ht="22.5" hidden="1" customHeight="1" x14ac:dyDescent="0.25">
      <c r="B118" s="160"/>
      <c r="C118" s="161" t="s">
        <v>148</v>
      </c>
      <c r="D118" s="162" t="s">
        <v>149</v>
      </c>
      <c r="E118" s="163">
        <f t="shared" si="255"/>
        <v>0</v>
      </c>
      <c r="F118" s="163"/>
      <c r="G118" s="163"/>
      <c r="H118" s="163">
        <f t="shared" si="256"/>
        <v>0</v>
      </c>
      <c r="I118" s="163">
        <f>L118-F118</f>
        <v>0</v>
      </c>
      <c r="J118" s="163"/>
      <c r="K118" s="163">
        <f t="shared" si="257"/>
        <v>0</v>
      </c>
      <c r="L118" s="163"/>
      <c r="M118" s="163"/>
      <c r="N118" s="163">
        <f t="shared" si="258"/>
        <v>0</v>
      </c>
      <c r="O118" s="163">
        <f>R118-L118</f>
        <v>0</v>
      </c>
      <c r="P118" s="163"/>
      <c r="Q118" s="164">
        <f t="shared" si="259"/>
        <v>0</v>
      </c>
      <c r="R118" s="164"/>
      <c r="S118" s="164"/>
      <c r="T118" s="164">
        <f t="shared" si="260"/>
        <v>0</v>
      </c>
      <c r="U118" s="164"/>
      <c r="V118" s="164"/>
      <c r="W118" s="164">
        <f t="shared" si="261"/>
        <v>0</v>
      </c>
      <c r="X118" s="164">
        <f>AA118-U118</f>
        <v>0</v>
      </c>
      <c r="Y118" s="164"/>
      <c r="Z118" s="164">
        <f t="shared" si="262"/>
        <v>0</v>
      </c>
      <c r="AA118" s="164"/>
      <c r="AB118" s="164"/>
      <c r="AC118" s="164">
        <f>AD118+AE118</f>
        <v>0</v>
      </c>
      <c r="AD118" s="164"/>
      <c r="AE118" s="164"/>
      <c r="AF118" s="164">
        <f>AG118+AH118</f>
        <v>0</v>
      </c>
      <c r="AG118" s="164"/>
      <c r="AH118" s="164"/>
      <c r="AI118" s="164"/>
      <c r="AJ118" s="164"/>
      <c r="AK118" s="165">
        <f t="shared" si="264"/>
        <v>0</v>
      </c>
      <c r="AL118" s="165">
        <f t="shared" si="264"/>
        <v>0</v>
      </c>
      <c r="AM118" s="746"/>
      <c r="AN118" s="174"/>
      <c r="AO118" s="166">
        <v>1</v>
      </c>
      <c r="AP118" s="174"/>
      <c r="AQ118" s="174"/>
      <c r="AR118" s="174"/>
      <c r="AS118" s="164">
        <f t="shared" si="265"/>
        <v>0</v>
      </c>
      <c r="AT118" s="164"/>
      <c r="AU118" s="164"/>
      <c r="AV118" s="164">
        <f t="shared" si="266"/>
        <v>0</v>
      </c>
      <c r="AW118" s="164">
        <f>AZ118-AT118</f>
        <v>0</v>
      </c>
      <c r="AX118" s="164"/>
      <c r="AY118" s="164">
        <f t="shared" si="267"/>
        <v>0</v>
      </c>
      <c r="AZ118" s="164"/>
      <c r="BA118" s="164"/>
      <c r="BB118" s="164">
        <f t="shared" si="268"/>
        <v>0</v>
      </c>
      <c r="BC118" s="164"/>
      <c r="BD118" s="164"/>
      <c r="BE118" s="164">
        <f t="shared" si="269"/>
        <v>0</v>
      </c>
      <c r="BF118" s="164">
        <f>BW118-BC118</f>
        <v>0</v>
      </c>
      <c r="BG118" s="164"/>
      <c r="BH118" s="164">
        <f t="shared" si="270"/>
        <v>0</v>
      </c>
      <c r="BI118" s="164"/>
      <c r="BJ118" s="164"/>
      <c r="BK118" s="167">
        <v>1</v>
      </c>
      <c r="BL118" s="168">
        <f t="shared" si="271"/>
        <v>0</v>
      </c>
      <c r="BM118" s="168"/>
      <c r="BN118" s="168"/>
      <c r="BO118" s="168"/>
      <c r="BP118" s="168"/>
      <c r="BQ118" s="168"/>
      <c r="BR118" s="168"/>
      <c r="BS118" s="168">
        <f>BT118+BU118</f>
        <v>0</v>
      </c>
      <c r="BT118" s="168">
        <f>AZ118-BN118-BQ118</f>
        <v>0</v>
      </c>
      <c r="BU118" s="168"/>
      <c r="BV118" s="164">
        <f t="shared" si="272"/>
        <v>0</v>
      </c>
      <c r="BW118" s="164"/>
      <c r="BX118" s="164"/>
      <c r="BY118" s="164">
        <f t="shared" si="273"/>
        <v>0</v>
      </c>
      <c r="BZ118" s="164">
        <f>CC118-BW118</f>
        <v>0</v>
      </c>
      <c r="CA118" s="164"/>
      <c r="CB118" s="164">
        <f t="shared" si="274"/>
        <v>0</v>
      </c>
      <c r="CC118" s="164"/>
      <c r="CD118" s="164"/>
      <c r="CE118" s="168">
        <v>1</v>
      </c>
      <c r="CF118" s="168">
        <f t="shared" si="275"/>
        <v>0</v>
      </c>
      <c r="CG118" s="164"/>
      <c r="CH118" s="164">
        <f t="shared" si="276"/>
        <v>0</v>
      </c>
      <c r="CI118" s="164"/>
      <c r="CJ118" s="164"/>
      <c r="CK118" s="164">
        <f t="shared" si="277"/>
        <v>0</v>
      </c>
      <c r="CL118" s="164">
        <f>CR118-CI118</f>
        <v>0</v>
      </c>
      <c r="CM118" s="164"/>
      <c r="CN118" s="164"/>
      <c r="CO118" s="164"/>
      <c r="CP118" s="164"/>
      <c r="CQ118" s="164">
        <f t="shared" si="278"/>
        <v>0</v>
      </c>
      <c r="CR118" s="164"/>
      <c r="CS118" s="164"/>
      <c r="CT118" s="164">
        <f t="shared" si="279"/>
        <v>0</v>
      </c>
      <c r="CU118" s="164"/>
      <c r="CV118" s="164"/>
      <c r="CW118" s="164">
        <f t="shared" si="280"/>
        <v>0</v>
      </c>
      <c r="CX118" s="164"/>
      <c r="CY118" s="164"/>
      <c r="CZ118" s="164">
        <f t="shared" si="281"/>
        <v>0</v>
      </c>
      <c r="DA118" s="164"/>
      <c r="DB118" s="164"/>
      <c r="DC118" s="164"/>
      <c r="DD118" s="164"/>
      <c r="DE118" s="164"/>
      <c r="DF118" s="164">
        <f t="shared" si="282"/>
        <v>0</v>
      </c>
      <c r="DG118" s="164"/>
      <c r="DH118" s="164"/>
      <c r="DI118" s="164">
        <f t="shared" si="283"/>
        <v>0</v>
      </c>
      <c r="DJ118" s="164"/>
      <c r="DK118" s="164"/>
      <c r="DL118" s="164">
        <f t="shared" si="284"/>
        <v>0</v>
      </c>
      <c r="DM118" s="164"/>
      <c r="DN118" s="164"/>
      <c r="DO118" s="164">
        <f t="shared" si="285"/>
        <v>0</v>
      </c>
      <c r="DP118" s="164"/>
      <c r="DQ118" s="164"/>
      <c r="DR118" s="164">
        <f t="shared" si="286"/>
        <v>0</v>
      </c>
      <c r="DS118" s="164"/>
      <c r="DT118" s="164"/>
      <c r="DU118" s="164">
        <f t="shared" si="287"/>
        <v>0</v>
      </c>
      <c r="DV118" s="164"/>
      <c r="DW118" s="164"/>
      <c r="DX118" s="164">
        <f t="shared" si="288"/>
        <v>0</v>
      </c>
      <c r="DY118" s="164"/>
      <c r="DZ118" s="164"/>
      <c r="EA118" s="164"/>
      <c r="EB118" s="164"/>
      <c r="EC118" s="164"/>
      <c r="ED118" s="164"/>
      <c r="EE118" s="164"/>
      <c r="EF118" s="164"/>
      <c r="EG118" s="164"/>
      <c r="EH118" s="164"/>
      <c r="EI118" s="164"/>
      <c r="EJ118" s="164"/>
      <c r="EK118" s="164">
        <f t="shared" si="289"/>
        <v>0</v>
      </c>
      <c r="EL118" s="164"/>
      <c r="EM118" s="164"/>
      <c r="EN118" s="164"/>
      <c r="EO118" s="164">
        <f t="shared" si="290"/>
        <v>0</v>
      </c>
      <c r="EP118" s="164"/>
      <c r="EQ118" s="164"/>
      <c r="ER118" s="164"/>
      <c r="ES118" s="163"/>
      <c r="ET118" s="164"/>
      <c r="EU118" s="164"/>
      <c r="EV118" s="164"/>
      <c r="EW118" s="164">
        <f t="shared" si="291"/>
        <v>0</v>
      </c>
      <c r="EX118" s="164"/>
      <c r="EY118" s="164"/>
      <c r="EZ118" s="164"/>
      <c r="FA118" s="164"/>
      <c r="FB118" s="164"/>
      <c r="FC118" s="163"/>
      <c r="FD118" s="163"/>
      <c r="FE118" s="163"/>
      <c r="FF118" s="163"/>
      <c r="FG118" s="163">
        <f t="shared" si="292"/>
        <v>0</v>
      </c>
      <c r="FH118" s="163"/>
      <c r="FI118" s="163"/>
      <c r="FJ118" s="163"/>
      <c r="FK118" s="163">
        <f t="shared" si="293"/>
        <v>0</v>
      </c>
      <c r="FL118" s="163"/>
      <c r="FM118" s="163"/>
      <c r="FN118" s="163"/>
      <c r="FO118" s="163"/>
      <c r="FP118" s="163"/>
      <c r="FQ118" s="163"/>
      <c r="FR118" s="163"/>
      <c r="FS118" s="39">
        <f t="shared" si="195"/>
        <v>0</v>
      </c>
      <c r="FT118" s="485" t="e">
        <f t="shared" si="241"/>
        <v>#DIV/0!</v>
      </c>
      <c r="FU118" s="39">
        <v>0</v>
      </c>
      <c r="FV118" s="485" t="e">
        <f t="shared" si="242"/>
        <v>#DIV/0!</v>
      </c>
      <c r="FW118" s="38"/>
      <c r="FX118" s="660"/>
      <c r="FY118" s="39"/>
      <c r="FZ118" s="660"/>
      <c r="GA118" s="39">
        <f t="shared" si="247"/>
        <v>0</v>
      </c>
      <c r="GB118" s="485" t="e">
        <f t="shared" si="248"/>
        <v>#DIV/0!</v>
      </c>
      <c r="GC118" s="39">
        <v>0</v>
      </c>
      <c r="GD118" s="485" t="e">
        <f t="shared" si="249"/>
        <v>#DIV/0!</v>
      </c>
      <c r="GE118" s="82"/>
      <c r="GF118" s="498"/>
      <c r="GG118" s="82"/>
      <c r="GH118" s="498"/>
      <c r="GI118" s="90">
        <f t="shared" si="243"/>
        <v>0</v>
      </c>
      <c r="GJ118" s="485" t="e">
        <f t="shared" si="244"/>
        <v>#DIV/0!</v>
      </c>
      <c r="GK118" s="90">
        <f>GK366+GK416</f>
        <v>0</v>
      </c>
      <c r="GL118" s="485" t="e">
        <f t="shared" si="245"/>
        <v>#DIV/0!</v>
      </c>
      <c r="GM118" s="90"/>
      <c r="GN118" s="485"/>
      <c r="GO118" s="90"/>
      <c r="GP118" s="485"/>
      <c r="GQ118" s="164"/>
      <c r="GR118" s="164"/>
      <c r="GS118" s="164"/>
      <c r="GT118" s="164"/>
      <c r="GU118" s="164"/>
      <c r="GV118" s="164"/>
      <c r="GW118" s="164"/>
      <c r="GX118" s="164"/>
      <c r="GY118" s="164"/>
      <c r="GZ118" s="164"/>
      <c r="HA118" s="164"/>
      <c r="HB118" s="164"/>
      <c r="HC118" s="164"/>
      <c r="HD118" s="164"/>
      <c r="HE118" s="164"/>
      <c r="HF118" s="164"/>
      <c r="HG118" s="164"/>
      <c r="HH118" s="164"/>
      <c r="HI118" s="164"/>
      <c r="HJ118" s="164"/>
      <c r="HK118" s="164"/>
      <c r="HL118" s="164"/>
      <c r="HM118" s="164"/>
      <c r="HN118" s="164"/>
      <c r="HO118" s="164"/>
      <c r="HP118" s="164"/>
      <c r="HQ118" s="164"/>
      <c r="HR118" s="164"/>
      <c r="HS118" s="164"/>
      <c r="HT118" s="164"/>
      <c r="HU118" s="164"/>
      <c r="HV118" s="164"/>
      <c r="HW118" s="164"/>
      <c r="HX118" s="164"/>
      <c r="HY118" s="164"/>
      <c r="HZ118" s="164"/>
      <c r="IA118" s="164"/>
      <c r="IB118" s="164"/>
      <c r="IC118" s="164"/>
      <c r="ID118" s="164"/>
      <c r="IE118" s="169"/>
      <c r="IF118" s="170"/>
      <c r="IG118" s="170"/>
      <c r="IH118" s="170"/>
    </row>
    <row r="119" spans="2:249" s="184" customFormat="1" ht="90.75" customHeight="1" x14ac:dyDescent="0.25">
      <c r="B119" s="178" t="s">
        <v>193</v>
      </c>
      <c r="C119" s="206" t="s">
        <v>208</v>
      </c>
      <c r="D119" s="179"/>
      <c r="E119" s="180">
        <f t="shared" si="255"/>
        <v>0</v>
      </c>
      <c r="F119" s="210">
        <f>SUM(F121:F122)</f>
        <v>0</v>
      </c>
      <c r="G119" s="210"/>
      <c r="H119" s="180">
        <f t="shared" si="256"/>
        <v>0</v>
      </c>
      <c r="I119" s="210">
        <f>SUM(I121:I122)</f>
        <v>0</v>
      </c>
      <c r="J119" s="210"/>
      <c r="K119" s="180">
        <f t="shared" si="257"/>
        <v>0</v>
      </c>
      <c r="L119" s="210">
        <f>SUM(L121:L122)</f>
        <v>0</v>
      </c>
      <c r="M119" s="210"/>
      <c r="N119" s="180">
        <f t="shared" si="258"/>
        <v>0</v>
      </c>
      <c r="O119" s="210">
        <f>SUM(O121:O122)</f>
        <v>0</v>
      </c>
      <c r="P119" s="210"/>
      <c r="Q119" s="181">
        <f t="shared" si="259"/>
        <v>0</v>
      </c>
      <c r="R119" s="182">
        <f>SUM(R121:R122)</f>
        <v>0</v>
      </c>
      <c r="S119" s="182"/>
      <c r="T119" s="181">
        <f t="shared" si="260"/>
        <v>0</v>
      </c>
      <c r="U119" s="182">
        <f>SUM(U121:U122)</f>
        <v>0</v>
      </c>
      <c r="V119" s="182"/>
      <c r="W119" s="181">
        <f t="shared" si="261"/>
        <v>0</v>
      </c>
      <c r="X119" s="182">
        <f>SUM(X121:X122)</f>
        <v>0</v>
      </c>
      <c r="Y119" s="182"/>
      <c r="Z119" s="181">
        <f t="shared" si="262"/>
        <v>0</v>
      </c>
      <c r="AA119" s="182">
        <f t="shared" ref="AA119:AH119" si="297">SUM(AA121:AA122)</f>
        <v>0</v>
      </c>
      <c r="AB119" s="182">
        <f t="shared" si="297"/>
        <v>0</v>
      </c>
      <c r="AC119" s="182">
        <f t="shared" si="297"/>
        <v>0</v>
      </c>
      <c r="AD119" s="182">
        <f t="shared" si="297"/>
        <v>0</v>
      </c>
      <c r="AE119" s="182">
        <f t="shared" si="297"/>
        <v>0</v>
      </c>
      <c r="AF119" s="182">
        <f t="shared" si="297"/>
        <v>0</v>
      </c>
      <c r="AG119" s="182">
        <f t="shared" si="297"/>
        <v>0</v>
      </c>
      <c r="AH119" s="182">
        <f t="shared" si="297"/>
        <v>0</v>
      </c>
      <c r="AI119" s="182">
        <v>0</v>
      </c>
      <c r="AJ119" s="182">
        <f>SUM(AJ121:AJ122)</f>
        <v>0</v>
      </c>
      <c r="AK119" s="182">
        <f t="shared" si="264"/>
        <v>0</v>
      </c>
      <c r="AL119" s="182">
        <f t="shared" si="264"/>
        <v>0</v>
      </c>
      <c r="AM119" s="483" t="s">
        <v>209</v>
      </c>
      <c r="AN119" s="483" t="s">
        <v>209</v>
      </c>
      <c r="AO119" s="109">
        <v>1</v>
      </c>
      <c r="AP119" s="483"/>
      <c r="AQ119" s="483"/>
      <c r="AR119" s="483"/>
      <c r="AS119" s="181">
        <f t="shared" si="265"/>
        <v>0</v>
      </c>
      <c r="AT119" s="182">
        <f>SUM(AT121:AT122)</f>
        <v>0</v>
      </c>
      <c r="AU119" s="182">
        <f>SUM(AU121:AU122)</f>
        <v>0</v>
      </c>
      <c r="AV119" s="181">
        <f t="shared" si="266"/>
        <v>0</v>
      </c>
      <c r="AW119" s="182">
        <f>SUM(AW121:AW122)</f>
        <v>0</v>
      </c>
      <c r="AX119" s="182"/>
      <c r="AY119" s="181">
        <f t="shared" si="267"/>
        <v>0</v>
      </c>
      <c r="AZ119" s="182">
        <f>SUM(AZ121:AZ122)</f>
        <v>0</v>
      </c>
      <c r="BA119" s="182">
        <f>SUM(BA121:BA122)</f>
        <v>0</v>
      </c>
      <c r="BB119" s="181">
        <f t="shared" si="268"/>
        <v>10000</v>
      </c>
      <c r="BC119" s="182">
        <f>SUM(BC121:BC122)</f>
        <v>10000</v>
      </c>
      <c r="BD119" s="182"/>
      <c r="BE119" s="181">
        <f t="shared" si="269"/>
        <v>0</v>
      </c>
      <c r="BF119" s="182">
        <f>SUM(BF121:BF122)</f>
        <v>0</v>
      </c>
      <c r="BG119" s="182"/>
      <c r="BH119" s="181">
        <f t="shared" si="270"/>
        <v>0</v>
      </c>
      <c r="BI119" s="182">
        <f>SUM(BI121:BI122)</f>
        <v>0</v>
      </c>
      <c r="BJ119" s="182">
        <f>SUM(BJ121:BJ122)</f>
        <v>0</v>
      </c>
      <c r="BK119" s="110">
        <v>1</v>
      </c>
      <c r="BL119" s="106">
        <f t="shared" si="271"/>
        <v>0</v>
      </c>
      <c r="BM119" s="106"/>
      <c r="BN119" s="106"/>
      <c r="BO119" s="106"/>
      <c r="BP119" s="106"/>
      <c r="BQ119" s="106"/>
      <c r="BR119" s="106"/>
      <c r="BS119" s="106">
        <f>BT119+BU119</f>
        <v>0</v>
      </c>
      <c r="BT119" s="106">
        <f>AZ119-BN119-BQ119</f>
        <v>0</v>
      </c>
      <c r="BU119" s="106"/>
      <c r="BV119" s="181">
        <f t="shared" si="272"/>
        <v>10000</v>
      </c>
      <c r="BW119" s="182">
        <f>SUM(BW121:BW122)</f>
        <v>10000</v>
      </c>
      <c r="BX119" s="182"/>
      <c r="BY119" s="181">
        <f t="shared" si="273"/>
        <v>0</v>
      </c>
      <c r="BZ119" s="182">
        <f>SUM(BZ121:BZ122)</f>
        <v>0</v>
      </c>
      <c r="CA119" s="182"/>
      <c r="CB119" s="181">
        <f t="shared" si="274"/>
        <v>0</v>
      </c>
      <c r="CC119" s="182">
        <f>SUM(CC121:CC122)</f>
        <v>0</v>
      </c>
      <c r="CD119" s="182"/>
      <c r="CE119" s="106">
        <v>1</v>
      </c>
      <c r="CF119" s="106">
        <f t="shared" si="275"/>
        <v>0</v>
      </c>
      <c r="CG119" s="181"/>
      <c r="CH119" s="181">
        <f t="shared" si="276"/>
        <v>10000</v>
      </c>
      <c r="CI119" s="182">
        <f>SUM(CI121:CI122)</f>
        <v>10000</v>
      </c>
      <c r="CJ119" s="182">
        <f>SUM(CJ121:CJ122)</f>
        <v>0</v>
      </c>
      <c r="CK119" s="181">
        <f t="shared" si="277"/>
        <v>0</v>
      </c>
      <c r="CL119" s="182">
        <f>SUM(CL121:CL122)</f>
        <v>0</v>
      </c>
      <c r="CM119" s="182"/>
      <c r="CN119" s="182"/>
      <c r="CO119" s="182"/>
      <c r="CP119" s="182"/>
      <c r="CQ119" s="181">
        <f t="shared" si="278"/>
        <v>10000</v>
      </c>
      <c r="CR119" s="182">
        <f>SUM(CR121:CR122)</f>
        <v>10000</v>
      </c>
      <c r="CS119" s="182">
        <f>SUM(CS121:CS122)</f>
        <v>0</v>
      </c>
      <c r="CT119" s="181">
        <f t="shared" si="279"/>
        <v>0</v>
      </c>
      <c r="CU119" s="182"/>
      <c r="CV119" s="182"/>
      <c r="CW119" s="181">
        <f t="shared" si="280"/>
        <v>0</v>
      </c>
      <c r="CX119" s="182">
        <f>SUM(CX121:CX122)</f>
        <v>0</v>
      </c>
      <c r="CY119" s="182"/>
      <c r="CZ119" s="181">
        <f t="shared" si="281"/>
        <v>1000</v>
      </c>
      <c r="DA119" s="182">
        <f>SUM(DA121:DA122)</f>
        <v>1000</v>
      </c>
      <c r="DB119" s="182">
        <f>SUM(DB121:DB122)</f>
        <v>0</v>
      </c>
      <c r="DC119" s="182"/>
      <c r="DD119" s="182"/>
      <c r="DE119" s="182"/>
      <c r="DF119" s="181">
        <f t="shared" si="282"/>
        <v>0</v>
      </c>
      <c r="DG119" s="182">
        <f>SUM(DG121:DG122)</f>
        <v>0</v>
      </c>
      <c r="DH119" s="182"/>
      <c r="DI119" s="181">
        <f t="shared" si="283"/>
        <v>0</v>
      </c>
      <c r="DJ119" s="182">
        <f>SUM(DJ121:DJ122)</f>
        <v>0</v>
      </c>
      <c r="DK119" s="182"/>
      <c r="DL119" s="181">
        <f t="shared" si="284"/>
        <v>0</v>
      </c>
      <c r="DM119" s="182">
        <f>SUM(DM121:DM122)</f>
        <v>0</v>
      </c>
      <c r="DN119" s="182"/>
      <c r="DO119" s="181">
        <f t="shared" si="285"/>
        <v>0</v>
      </c>
      <c r="DP119" s="182">
        <f>SUM(DP121:DP122)</f>
        <v>0</v>
      </c>
      <c r="DQ119" s="182"/>
      <c r="DR119" s="181">
        <f t="shared" si="286"/>
        <v>0</v>
      </c>
      <c r="DS119" s="182">
        <f>SUM(DS121:DS122)</f>
        <v>0</v>
      </c>
      <c r="DT119" s="182"/>
      <c r="DU119" s="181">
        <f t="shared" si="287"/>
        <v>1000</v>
      </c>
      <c r="DV119" s="182">
        <f>SUM(DV121:DV122)</f>
        <v>1000</v>
      </c>
      <c r="DW119" s="182"/>
      <c r="DX119" s="181">
        <f t="shared" si="288"/>
        <v>1000</v>
      </c>
      <c r="DY119" s="182">
        <f>SUM(DY121:DY122)</f>
        <v>1000</v>
      </c>
      <c r="DZ119" s="182">
        <f>SUM(DZ121:DZ122)</f>
        <v>0</v>
      </c>
      <c r="EA119" s="182"/>
      <c r="EB119" s="182"/>
      <c r="EC119" s="182"/>
      <c r="ED119" s="182"/>
      <c r="EE119" s="182"/>
      <c r="EF119" s="182"/>
      <c r="EG119" s="106">
        <f t="shared" ref="EG119:EG126" si="298">EH119</f>
        <v>542500</v>
      </c>
      <c r="EH119" s="106">
        <f>EH120+EH124</f>
        <v>542500</v>
      </c>
      <c r="EI119" s="106"/>
      <c r="EJ119" s="182"/>
      <c r="EK119" s="181">
        <f t="shared" si="289"/>
        <v>-94050.55</v>
      </c>
      <c r="EL119" s="182">
        <f>SUM(EL121:EL122)</f>
        <v>-94050.55</v>
      </c>
      <c r="EM119" s="182"/>
      <c r="EN119" s="182"/>
      <c r="EO119" s="181">
        <f t="shared" si="290"/>
        <v>0</v>
      </c>
      <c r="EP119" s="182">
        <f>SUM(EP121:EP122)</f>
        <v>0</v>
      </c>
      <c r="EQ119" s="182"/>
      <c r="ER119" s="182"/>
      <c r="ES119" s="106">
        <f>ET119+EV119</f>
        <v>185077.88829</v>
      </c>
      <c r="ET119" s="106">
        <f>ET120</f>
        <v>185077.88829</v>
      </c>
      <c r="EU119" s="182"/>
      <c r="EV119" s="182"/>
      <c r="EW119" s="181">
        <f t="shared" si="291"/>
        <v>1000</v>
      </c>
      <c r="EX119" s="182">
        <f>SUM(EX121:EX122)</f>
        <v>1000</v>
      </c>
      <c r="EY119" s="182">
        <f>SUM(EY121:EY122)</f>
        <v>0</v>
      </c>
      <c r="EZ119" s="182"/>
      <c r="FA119" s="182"/>
      <c r="FB119" s="182"/>
      <c r="FC119" s="104">
        <f t="shared" ref="FC119:FC126" si="299">FD119</f>
        <v>637300.58455999999</v>
      </c>
      <c r="FD119" s="104">
        <f>FD120+FD124</f>
        <v>637300.58455999999</v>
      </c>
      <c r="FE119" s="104"/>
      <c r="FF119" s="210"/>
      <c r="FG119" s="104">
        <f>FH119</f>
        <v>94651.134560000006</v>
      </c>
      <c r="FH119" s="104">
        <f>FH120+FH124</f>
        <v>94651.134560000006</v>
      </c>
      <c r="FI119" s="210"/>
      <c r="FJ119" s="210"/>
      <c r="FK119" s="180">
        <f t="shared" si="293"/>
        <v>0</v>
      </c>
      <c r="FL119" s="210">
        <f>SUM(FL121:FL122)</f>
        <v>0</v>
      </c>
      <c r="FM119" s="210"/>
      <c r="FN119" s="210"/>
      <c r="FO119" s="104">
        <f t="shared" ref="FO119:FO126" si="300">FP119</f>
        <v>731951.71912000002</v>
      </c>
      <c r="FP119" s="104">
        <f>FP120+FP124</f>
        <v>731951.71912000002</v>
      </c>
      <c r="FQ119" s="104"/>
      <c r="FR119" s="210"/>
      <c r="FS119" s="629">
        <f>FS120+FS124</f>
        <v>345628.81336000003</v>
      </c>
      <c r="FT119" s="595">
        <f t="shared" si="241"/>
        <v>0.54233249071727485</v>
      </c>
      <c r="FU119" s="629">
        <f>FU120</f>
        <v>233026.71462000001</v>
      </c>
      <c r="FV119" s="595">
        <f t="shared" si="242"/>
        <v>0.36564647870342765</v>
      </c>
      <c r="FW119" s="522"/>
      <c r="FX119" s="666"/>
      <c r="FY119" s="629"/>
      <c r="FZ119" s="666"/>
      <c r="GA119" s="629">
        <f t="shared" si="247"/>
        <v>317251.64185999997</v>
      </c>
      <c r="GB119" s="595">
        <f t="shared" si="248"/>
        <v>0.49780535205225701</v>
      </c>
      <c r="GC119" s="629">
        <f>GC120+GC124</f>
        <v>317251.64185999997</v>
      </c>
      <c r="GD119" s="595">
        <f t="shared" si="249"/>
        <v>0.49780535205225701</v>
      </c>
      <c r="GE119" s="522"/>
      <c r="GF119" s="514"/>
      <c r="GG119" s="522"/>
      <c r="GH119" s="514"/>
      <c r="GI119" s="629">
        <f t="shared" si="243"/>
        <v>590195.33551</v>
      </c>
      <c r="GJ119" s="595">
        <f t="shared" si="244"/>
        <v>0.92608629241643958</v>
      </c>
      <c r="GK119" s="629">
        <f>GK120+GK124</f>
        <v>590195.33551</v>
      </c>
      <c r="GL119" s="595">
        <f t="shared" si="245"/>
        <v>0.92608629241643958</v>
      </c>
      <c r="GM119" s="629"/>
      <c r="GN119" s="595"/>
      <c r="GO119" s="629"/>
      <c r="GP119" s="595"/>
      <c r="GQ119" s="182"/>
      <c r="GR119" s="182"/>
      <c r="GS119" s="182"/>
      <c r="GT119" s="182"/>
      <c r="GU119" s="106">
        <f t="shared" ref="GU119:GU126" si="301">GV119</f>
        <v>1025153</v>
      </c>
      <c r="GV119" s="106">
        <f>GV120+GV124</f>
        <v>1025153</v>
      </c>
      <c r="GW119" s="106"/>
      <c r="GX119" s="182"/>
      <c r="GY119" s="182"/>
      <c r="GZ119" s="182"/>
      <c r="HA119" s="182"/>
      <c r="HB119" s="182"/>
      <c r="HC119" s="182"/>
      <c r="HD119" s="182"/>
      <c r="HE119" s="182"/>
      <c r="HF119" s="182"/>
      <c r="HG119" s="106">
        <f>HH119</f>
        <v>-127000</v>
      </c>
      <c r="HH119" s="106">
        <f>HH120+HH124</f>
        <v>-127000</v>
      </c>
      <c r="HI119" s="106"/>
      <c r="HJ119" s="182"/>
      <c r="HK119" s="106" t="e">
        <f>HL119</f>
        <v>#REF!</v>
      </c>
      <c r="HL119" s="106" t="e">
        <f>HL120</f>
        <v>#REF!</v>
      </c>
      <c r="HM119" s="106"/>
      <c r="HN119" s="182"/>
      <c r="HO119" s="106">
        <f t="shared" ref="HO119:HO126" si="302">HP119</f>
        <v>898153</v>
      </c>
      <c r="HP119" s="106">
        <f>HP120+HP124</f>
        <v>898153</v>
      </c>
      <c r="HQ119" s="106"/>
      <c r="HR119" s="182"/>
      <c r="HS119" s="106">
        <f t="shared" ref="HS119:HS126" si="303">HT119</f>
        <v>436000</v>
      </c>
      <c r="HT119" s="106">
        <f>HT120+HT124</f>
        <v>436000</v>
      </c>
      <c r="HU119" s="106"/>
      <c r="HV119" s="182"/>
      <c r="HW119" s="106">
        <f>HX119</f>
        <v>423500</v>
      </c>
      <c r="HX119" s="106">
        <f>HX120+HX124</f>
        <v>423500</v>
      </c>
      <c r="HY119" s="106"/>
      <c r="HZ119" s="182"/>
      <c r="IA119" s="106">
        <f t="shared" ref="IA119:IA126" si="304">IB119</f>
        <v>859500</v>
      </c>
      <c r="IB119" s="106">
        <f>IB120+IB124</f>
        <v>859500</v>
      </c>
      <c r="IC119" s="106"/>
      <c r="ID119" s="182"/>
      <c r="IE119" s="196" t="s">
        <v>210</v>
      </c>
      <c r="IF119" s="211"/>
      <c r="IG119" s="211"/>
      <c r="IH119" s="211"/>
    </row>
    <row r="120" spans="2:249" s="214" customFormat="1" ht="45.75" customHeight="1" x14ac:dyDescent="0.25">
      <c r="B120" s="100"/>
      <c r="C120" s="101" t="s">
        <v>131</v>
      </c>
      <c r="D120" s="102"/>
      <c r="E120" s="103"/>
      <c r="F120" s="103"/>
      <c r="G120" s="103"/>
      <c r="H120" s="103"/>
      <c r="I120" s="103"/>
      <c r="J120" s="103"/>
      <c r="K120" s="103"/>
      <c r="L120" s="103"/>
      <c r="M120" s="103"/>
      <c r="N120" s="103"/>
      <c r="O120" s="103"/>
      <c r="P120" s="103"/>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9"/>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10"/>
      <c r="BL120" s="106"/>
      <c r="BM120" s="105"/>
      <c r="BN120" s="105"/>
      <c r="BO120" s="105"/>
      <c r="BP120" s="105"/>
      <c r="BQ120" s="105"/>
      <c r="BR120" s="105"/>
      <c r="BS120" s="105"/>
      <c r="BT120" s="105"/>
      <c r="BU120" s="105"/>
      <c r="BV120" s="105"/>
      <c r="BW120" s="105"/>
      <c r="BX120" s="105"/>
      <c r="BY120" s="105"/>
      <c r="BZ120" s="105"/>
      <c r="CA120" s="105"/>
      <c r="CB120" s="105"/>
      <c r="CC120" s="105"/>
      <c r="CD120" s="105"/>
      <c r="CE120" s="106"/>
      <c r="CF120" s="106"/>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f t="shared" si="298"/>
        <v>116000</v>
      </c>
      <c r="EH120" s="105">
        <f>SUM(EH121:EH123)</f>
        <v>116000</v>
      </c>
      <c r="EI120" s="105"/>
      <c r="EJ120" s="105"/>
      <c r="EK120" s="105">
        <f>EL120</f>
        <v>-94050.55</v>
      </c>
      <c r="EL120" s="105">
        <f>EL121+EL122</f>
        <v>-94050.55</v>
      </c>
      <c r="EM120" s="105"/>
      <c r="EN120" s="105"/>
      <c r="EO120" s="105"/>
      <c r="EP120" s="105"/>
      <c r="EQ120" s="105"/>
      <c r="ER120" s="105"/>
      <c r="ES120" s="105">
        <f>ET120</f>
        <v>185077.88829</v>
      </c>
      <c r="ET120" s="105">
        <f>SUM(ET121:ET123)</f>
        <v>185077.88829</v>
      </c>
      <c r="EU120" s="105"/>
      <c r="EV120" s="105"/>
      <c r="EW120" s="105"/>
      <c r="EX120" s="105"/>
      <c r="EY120" s="105"/>
      <c r="EZ120" s="105"/>
      <c r="FA120" s="105"/>
      <c r="FB120" s="105"/>
      <c r="FC120" s="103">
        <f t="shared" si="299"/>
        <v>210800.58455999999</v>
      </c>
      <c r="FD120" s="103">
        <f>SUM(FD121:FD123)</f>
        <v>210800.58455999999</v>
      </c>
      <c r="FE120" s="103"/>
      <c r="FF120" s="103"/>
      <c r="FG120" s="103">
        <f>FH120</f>
        <v>94651.134560000006</v>
      </c>
      <c r="FH120" s="103">
        <f>FH121+FH122</f>
        <v>94651.134560000006</v>
      </c>
      <c r="FI120" s="103"/>
      <c r="FJ120" s="103"/>
      <c r="FK120" s="103"/>
      <c r="FL120" s="103"/>
      <c r="FM120" s="103"/>
      <c r="FN120" s="103"/>
      <c r="FO120" s="103">
        <f t="shared" si="300"/>
        <v>305451.71912000002</v>
      </c>
      <c r="FP120" s="103">
        <f>SUM(FP121:FP123)</f>
        <v>305451.71912000002</v>
      </c>
      <c r="FQ120" s="103"/>
      <c r="FR120" s="103"/>
      <c r="FS120" s="629">
        <f t="shared" si="195"/>
        <v>233026.71462000001</v>
      </c>
      <c r="FT120" s="595">
        <f t="shared" si="241"/>
        <v>1.1054367572385637</v>
      </c>
      <c r="FU120" s="629">
        <f>FU121+FU122+FU123</f>
        <v>233026.71462000001</v>
      </c>
      <c r="FV120" s="595">
        <f t="shared" si="242"/>
        <v>1.1054367572385637</v>
      </c>
      <c r="FW120" s="522"/>
      <c r="FX120" s="666"/>
      <c r="FY120" s="629"/>
      <c r="FZ120" s="666"/>
      <c r="GA120" s="629">
        <f t="shared" si="247"/>
        <v>145555.00654</v>
      </c>
      <c r="GB120" s="595">
        <f t="shared" si="248"/>
        <v>0.69048673106772529</v>
      </c>
      <c r="GC120" s="629">
        <f>GC121+GC122+GC123</f>
        <v>145555.00654</v>
      </c>
      <c r="GD120" s="595">
        <f t="shared" si="249"/>
        <v>0.69048673106772529</v>
      </c>
      <c r="GE120" s="522"/>
      <c r="GF120" s="514"/>
      <c r="GG120" s="522"/>
      <c r="GH120" s="514"/>
      <c r="GI120" s="629">
        <f t="shared" si="243"/>
        <v>163695.33551</v>
      </c>
      <c r="GJ120" s="595">
        <f t="shared" si="244"/>
        <v>0.77654118394253102</v>
      </c>
      <c r="GK120" s="629">
        <f>GK121+GK122+GK123</f>
        <v>163695.33551</v>
      </c>
      <c r="GL120" s="595">
        <f t="shared" si="245"/>
        <v>0.77654118394253102</v>
      </c>
      <c r="GM120" s="629"/>
      <c r="GN120" s="595"/>
      <c r="GO120" s="629"/>
      <c r="GP120" s="595"/>
      <c r="GQ120" s="105"/>
      <c r="GR120" s="105"/>
      <c r="GS120" s="105"/>
      <c r="GT120" s="105"/>
      <c r="GU120" s="105">
        <f t="shared" si="301"/>
        <v>398153</v>
      </c>
      <c r="GV120" s="105">
        <f>SUM(GV121:GV123)</f>
        <v>398153</v>
      </c>
      <c r="GW120" s="105"/>
      <c r="GX120" s="105"/>
      <c r="GY120" s="105"/>
      <c r="GZ120" s="105"/>
      <c r="HA120" s="105"/>
      <c r="HB120" s="105"/>
      <c r="HC120" s="105"/>
      <c r="HD120" s="105"/>
      <c r="HE120" s="105"/>
      <c r="HF120" s="105"/>
      <c r="HG120" s="105">
        <f>HH120</f>
        <v>0</v>
      </c>
      <c r="HH120" s="105">
        <f>HH121+HH122</f>
        <v>0</v>
      </c>
      <c r="HI120" s="105"/>
      <c r="HJ120" s="105"/>
      <c r="HK120" s="105" t="e">
        <f>HL120</f>
        <v>#REF!</v>
      </c>
      <c r="HL120" s="105" t="e">
        <f>SUM(HL121:HL123)</f>
        <v>#REF!</v>
      </c>
      <c r="HM120" s="105"/>
      <c r="HN120" s="105"/>
      <c r="HO120" s="105">
        <f t="shared" si="302"/>
        <v>398153</v>
      </c>
      <c r="HP120" s="105">
        <f>SUM(HP121:HP123)</f>
        <v>398153</v>
      </c>
      <c r="HQ120" s="105"/>
      <c r="HR120" s="105"/>
      <c r="HS120" s="105">
        <f t="shared" si="303"/>
        <v>436000</v>
      </c>
      <c r="HT120" s="105">
        <f>HT121+HT122</f>
        <v>436000</v>
      </c>
      <c r="HU120" s="105"/>
      <c r="HV120" s="105"/>
      <c r="HW120" s="105"/>
      <c r="HX120" s="105"/>
      <c r="HY120" s="105"/>
      <c r="HZ120" s="105"/>
      <c r="IA120" s="105">
        <f t="shared" si="304"/>
        <v>436000</v>
      </c>
      <c r="IB120" s="105">
        <f>IB121+IB122</f>
        <v>436000</v>
      </c>
      <c r="IC120" s="105"/>
      <c r="ID120" s="105"/>
      <c r="IE120" s="198"/>
      <c r="IF120" s="141"/>
      <c r="IG120" s="141"/>
      <c r="IH120" s="141"/>
      <c r="II120" s="202"/>
      <c r="IJ120" s="202"/>
      <c r="IK120" s="202"/>
      <c r="IL120" s="202"/>
      <c r="IM120" s="202"/>
      <c r="IN120" s="202"/>
      <c r="IO120" s="202"/>
    </row>
    <row r="121" spans="2:249" s="171" customFormat="1" ht="27" hidden="1" customHeight="1" x14ac:dyDescent="0.25">
      <c r="B121" s="160"/>
      <c r="C121" s="161" t="s">
        <v>146</v>
      </c>
      <c r="D121" s="162"/>
      <c r="E121" s="163">
        <f t="shared" si="255"/>
        <v>0</v>
      </c>
      <c r="F121" s="163"/>
      <c r="G121" s="163"/>
      <c r="H121" s="163">
        <f t="shared" si="256"/>
        <v>0</v>
      </c>
      <c r="I121" s="163">
        <f>L121-F121</f>
        <v>0</v>
      </c>
      <c r="J121" s="163"/>
      <c r="K121" s="163">
        <f t="shared" si="257"/>
        <v>0</v>
      </c>
      <c r="L121" s="163"/>
      <c r="M121" s="163"/>
      <c r="N121" s="163">
        <f t="shared" si="258"/>
        <v>0</v>
      </c>
      <c r="O121" s="163">
        <f>R121-L121</f>
        <v>0</v>
      </c>
      <c r="P121" s="163"/>
      <c r="Q121" s="164">
        <f t="shared" si="259"/>
        <v>0</v>
      </c>
      <c r="R121" s="164"/>
      <c r="S121" s="164"/>
      <c r="T121" s="164">
        <f t="shared" si="260"/>
        <v>0</v>
      </c>
      <c r="U121" s="164"/>
      <c r="V121" s="164"/>
      <c r="W121" s="164">
        <f t="shared" si="261"/>
        <v>0</v>
      </c>
      <c r="X121" s="164">
        <f>AA121-U121</f>
        <v>0</v>
      </c>
      <c r="Y121" s="164"/>
      <c r="Z121" s="164">
        <f t="shared" si="262"/>
        <v>0</v>
      </c>
      <c r="AA121" s="164"/>
      <c r="AB121" s="164"/>
      <c r="AC121" s="164">
        <f>AD121+AE121</f>
        <v>0</v>
      </c>
      <c r="AD121" s="164"/>
      <c r="AE121" s="164"/>
      <c r="AF121" s="164">
        <f>AG121+AH121</f>
        <v>0</v>
      </c>
      <c r="AG121" s="164"/>
      <c r="AH121" s="164"/>
      <c r="AI121" s="164"/>
      <c r="AJ121" s="164"/>
      <c r="AK121" s="165">
        <f t="shared" si="264"/>
        <v>0</v>
      </c>
      <c r="AL121" s="165">
        <f t="shared" si="264"/>
        <v>0</v>
      </c>
      <c r="AM121" s="164"/>
      <c r="AN121" s="164"/>
      <c r="AO121" s="166">
        <v>1</v>
      </c>
      <c r="AP121" s="164"/>
      <c r="AQ121" s="164"/>
      <c r="AR121" s="164"/>
      <c r="AS121" s="164">
        <f t="shared" si="265"/>
        <v>0</v>
      </c>
      <c r="AT121" s="164"/>
      <c r="AU121" s="164"/>
      <c r="AV121" s="164">
        <f t="shared" si="266"/>
        <v>0</v>
      </c>
      <c r="AW121" s="164">
        <f>AZ121-AT121</f>
        <v>0</v>
      </c>
      <c r="AX121" s="164"/>
      <c r="AY121" s="164">
        <f t="shared" si="267"/>
        <v>0</v>
      </c>
      <c r="AZ121" s="164"/>
      <c r="BA121" s="164"/>
      <c r="BB121" s="164">
        <f t="shared" si="268"/>
        <v>10000</v>
      </c>
      <c r="BC121" s="164">
        <v>10000</v>
      </c>
      <c r="BD121" s="164"/>
      <c r="BE121" s="164">
        <f t="shared" si="269"/>
        <v>0</v>
      </c>
      <c r="BF121" s="164">
        <f>BW121-BC121</f>
        <v>0</v>
      </c>
      <c r="BG121" s="164"/>
      <c r="BH121" s="164">
        <f t="shared" si="270"/>
        <v>0</v>
      </c>
      <c r="BI121" s="164"/>
      <c r="BJ121" s="164"/>
      <c r="BK121" s="167">
        <v>1</v>
      </c>
      <c r="BL121" s="168">
        <f t="shared" si="271"/>
        <v>0</v>
      </c>
      <c r="BM121" s="168"/>
      <c r="BN121" s="168"/>
      <c r="BO121" s="168"/>
      <c r="BP121" s="168"/>
      <c r="BQ121" s="168"/>
      <c r="BR121" s="168"/>
      <c r="BS121" s="168">
        <f>BT121+BU121</f>
        <v>0</v>
      </c>
      <c r="BT121" s="168">
        <f>AZ121-BN121-BQ121</f>
        <v>0</v>
      </c>
      <c r="BU121" s="168"/>
      <c r="BV121" s="164">
        <f t="shared" si="272"/>
        <v>10000</v>
      </c>
      <c r="BW121" s="164">
        <v>10000</v>
      </c>
      <c r="BX121" s="164"/>
      <c r="BY121" s="164">
        <f t="shared" si="273"/>
        <v>0</v>
      </c>
      <c r="BZ121" s="164">
        <f>CC121-BI121</f>
        <v>0</v>
      </c>
      <c r="CA121" s="164"/>
      <c r="CB121" s="164">
        <f t="shared" si="274"/>
        <v>0</v>
      </c>
      <c r="CC121" s="164">
        <v>0</v>
      </c>
      <c r="CD121" s="164"/>
      <c r="CE121" s="168">
        <v>1</v>
      </c>
      <c r="CF121" s="168">
        <f t="shared" si="275"/>
        <v>0</v>
      </c>
      <c r="CG121" s="164"/>
      <c r="CH121" s="164">
        <f t="shared" si="276"/>
        <v>10000</v>
      </c>
      <c r="CI121" s="164">
        <v>10000</v>
      </c>
      <c r="CJ121" s="164"/>
      <c r="CK121" s="164">
        <f t="shared" si="277"/>
        <v>0</v>
      </c>
      <c r="CL121" s="164">
        <f>CR121-CI121</f>
        <v>0</v>
      </c>
      <c r="CM121" s="164"/>
      <c r="CN121" s="164"/>
      <c r="CO121" s="164"/>
      <c r="CP121" s="164"/>
      <c r="CQ121" s="164">
        <f t="shared" si="278"/>
        <v>10000</v>
      </c>
      <c r="CR121" s="164">
        <v>10000</v>
      </c>
      <c r="CS121" s="164"/>
      <c r="CT121" s="164">
        <f t="shared" si="279"/>
        <v>0</v>
      </c>
      <c r="CU121" s="164"/>
      <c r="CV121" s="164"/>
      <c r="CW121" s="164">
        <f t="shared" si="280"/>
        <v>0</v>
      </c>
      <c r="CX121" s="164">
        <v>0</v>
      </c>
      <c r="CY121" s="164"/>
      <c r="CZ121" s="164">
        <f t="shared" si="281"/>
        <v>1000</v>
      </c>
      <c r="DA121" s="164">
        <v>1000</v>
      </c>
      <c r="DB121" s="164"/>
      <c r="DC121" s="164"/>
      <c r="DD121" s="164"/>
      <c r="DE121" s="164"/>
      <c r="DF121" s="164">
        <f t="shared" si="282"/>
        <v>0</v>
      </c>
      <c r="DG121" s="164">
        <v>0</v>
      </c>
      <c r="DH121" s="164"/>
      <c r="DI121" s="164">
        <f t="shared" si="283"/>
        <v>0</v>
      </c>
      <c r="DJ121" s="164">
        <v>0</v>
      </c>
      <c r="DK121" s="164"/>
      <c r="DL121" s="164">
        <f t="shared" si="284"/>
        <v>0</v>
      </c>
      <c r="DM121" s="164">
        <v>0</v>
      </c>
      <c r="DN121" s="164"/>
      <c r="DO121" s="164">
        <f t="shared" si="285"/>
        <v>0</v>
      </c>
      <c r="DP121" s="164">
        <v>0</v>
      </c>
      <c r="DQ121" s="164"/>
      <c r="DR121" s="164">
        <f t="shared" si="286"/>
        <v>0</v>
      </c>
      <c r="DS121" s="164">
        <v>0</v>
      </c>
      <c r="DT121" s="164"/>
      <c r="DU121" s="164">
        <f t="shared" si="287"/>
        <v>1000</v>
      </c>
      <c r="DV121" s="164">
        <v>1000</v>
      </c>
      <c r="DW121" s="164"/>
      <c r="DX121" s="164">
        <f t="shared" si="288"/>
        <v>1000</v>
      </c>
      <c r="DY121" s="164">
        <v>1000</v>
      </c>
      <c r="DZ121" s="164"/>
      <c r="EA121" s="164"/>
      <c r="EB121" s="164"/>
      <c r="EC121" s="164"/>
      <c r="ED121" s="164"/>
      <c r="EE121" s="164"/>
      <c r="EF121" s="164"/>
      <c r="EG121" s="164">
        <f t="shared" si="298"/>
        <v>94050.55</v>
      </c>
      <c r="EH121" s="164">
        <v>94050.55</v>
      </c>
      <c r="EI121" s="164"/>
      <c r="EJ121" s="164"/>
      <c r="EK121" s="164">
        <f t="shared" si="289"/>
        <v>-94050.55</v>
      </c>
      <c r="EL121" s="164">
        <f>ET121-EH121</f>
        <v>-94050.55</v>
      </c>
      <c r="EM121" s="164"/>
      <c r="EN121" s="164"/>
      <c r="EO121" s="164">
        <f t="shared" si="290"/>
        <v>0</v>
      </c>
      <c r="EP121" s="164"/>
      <c r="EQ121" s="164"/>
      <c r="ER121" s="164"/>
      <c r="ES121" s="164">
        <f>ET121+EV121</f>
        <v>0</v>
      </c>
      <c r="ET121" s="164"/>
      <c r="EU121" s="164"/>
      <c r="EV121" s="164"/>
      <c r="EW121" s="164">
        <f t="shared" si="291"/>
        <v>1000</v>
      </c>
      <c r="EX121" s="164">
        <v>1000</v>
      </c>
      <c r="EY121" s="164"/>
      <c r="EZ121" s="164"/>
      <c r="FA121" s="164"/>
      <c r="FB121" s="164"/>
      <c r="FC121" s="163">
        <f t="shared" si="299"/>
        <v>0</v>
      </c>
      <c r="FD121" s="163">
        <v>0</v>
      </c>
      <c r="FE121" s="163"/>
      <c r="FF121" s="163"/>
      <c r="FG121" s="163">
        <f t="shared" si="292"/>
        <v>94050.55</v>
      </c>
      <c r="FH121" s="163">
        <f>FP121-FD121</f>
        <v>94050.55</v>
      </c>
      <c r="FI121" s="163"/>
      <c r="FJ121" s="163"/>
      <c r="FK121" s="163">
        <f t="shared" si="293"/>
        <v>0</v>
      </c>
      <c r="FL121" s="163"/>
      <c r="FM121" s="163"/>
      <c r="FN121" s="163"/>
      <c r="FO121" s="163">
        <f t="shared" si="300"/>
        <v>94050.55</v>
      </c>
      <c r="FP121" s="163">
        <f>EH121</f>
        <v>94050.55</v>
      </c>
      <c r="FQ121" s="163"/>
      <c r="FR121" s="163"/>
      <c r="FS121" s="90">
        <f t="shared" si="195"/>
        <v>0</v>
      </c>
      <c r="FT121" s="518" t="e">
        <f t="shared" si="241"/>
        <v>#DIV/0!</v>
      </c>
      <c r="FU121" s="90">
        <v>0</v>
      </c>
      <c r="FV121" s="518" t="e">
        <f t="shared" si="242"/>
        <v>#DIV/0!</v>
      </c>
      <c r="FW121" s="87"/>
      <c r="FX121" s="665"/>
      <c r="FY121" s="90"/>
      <c r="FZ121" s="665"/>
      <c r="GA121" s="90">
        <f t="shared" si="247"/>
        <v>0</v>
      </c>
      <c r="GB121" s="518">
        <v>0</v>
      </c>
      <c r="GC121" s="90">
        <v>0</v>
      </c>
      <c r="GD121" s="518">
        <v>0</v>
      </c>
      <c r="GE121" s="87"/>
      <c r="GF121" s="515"/>
      <c r="GG121" s="87"/>
      <c r="GH121" s="515"/>
      <c r="GI121" s="90"/>
      <c r="GJ121" s="518"/>
      <c r="GK121" s="90"/>
      <c r="GL121" s="518"/>
      <c r="GM121" s="90"/>
      <c r="GN121" s="518"/>
      <c r="GO121" s="90"/>
      <c r="GP121" s="518"/>
      <c r="GQ121" s="164"/>
      <c r="GR121" s="164"/>
      <c r="GS121" s="164"/>
      <c r="GT121" s="164"/>
      <c r="GU121" s="164">
        <f t="shared" si="301"/>
        <v>190654.9</v>
      </c>
      <c r="GV121" s="164">
        <v>190654.9</v>
      </c>
      <c r="GW121" s="164"/>
      <c r="GX121" s="164"/>
      <c r="GY121" s="164"/>
      <c r="GZ121" s="164"/>
      <c r="HA121" s="164"/>
      <c r="HB121" s="164"/>
      <c r="HC121" s="164"/>
      <c r="HD121" s="164"/>
      <c r="HE121" s="164"/>
      <c r="HF121" s="164"/>
      <c r="HG121" s="164">
        <f>HH121</f>
        <v>0</v>
      </c>
      <c r="HH121" s="164">
        <f>HP121-GV121</f>
        <v>0</v>
      </c>
      <c r="HI121" s="164"/>
      <c r="HJ121" s="164"/>
      <c r="HK121" s="164">
        <f>HL121</f>
        <v>0</v>
      </c>
      <c r="HL121" s="164">
        <f>IF121-GZ121</f>
        <v>0</v>
      </c>
      <c r="HM121" s="164"/>
      <c r="HN121" s="164"/>
      <c r="HO121" s="164">
        <f t="shared" si="302"/>
        <v>190654.9</v>
      </c>
      <c r="HP121" s="164">
        <f>GV121</f>
        <v>190654.9</v>
      </c>
      <c r="HQ121" s="164"/>
      <c r="HR121" s="164"/>
      <c r="HS121" s="164">
        <f t="shared" si="303"/>
        <v>431073.2</v>
      </c>
      <c r="HT121" s="164">
        <v>431073.2</v>
      </c>
      <c r="HU121" s="164"/>
      <c r="HV121" s="164"/>
      <c r="HW121" s="164">
        <f>HX121</f>
        <v>0</v>
      </c>
      <c r="HX121" s="164">
        <f>IR121-HL121</f>
        <v>0</v>
      </c>
      <c r="HY121" s="164"/>
      <c r="HZ121" s="164"/>
      <c r="IA121" s="164">
        <f t="shared" si="304"/>
        <v>431073.2</v>
      </c>
      <c r="IB121" s="164">
        <f>HT121</f>
        <v>431073.2</v>
      </c>
      <c r="IC121" s="164"/>
      <c r="ID121" s="164"/>
      <c r="IE121" s="185"/>
      <c r="IF121" s="170"/>
      <c r="IG121" s="170"/>
      <c r="IH121" s="170"/>
    </row>
    <row r="122" spans="2:249" s="171" customFormat="1" ht="30.75" hidden="1" customHeight="1" x14ac:dyDescent="0.25">
      <c r="B122" s="160"/>
      <c r="C122" s="161" t="s">
        <v>148</v>
      </c>
      <c r="D122" s="162" t="s">
        <v>149</v>
      </c>
      <c r="E122" s="163">
        <f t="shared" si="255"/>
        <v>0</v>
      </c>
      <c r="F122" s="163"/>
      <c r="G122" s="163"/>
      <c r="H122" s="163">
        <f t="shared" si="256"/>
        <v>0</v>
      </c>
      <c r="I122" s="163">
        <f>L122-F122</f>
        <v>0</v>
      </c>
      <c r="J122" s="163"/>
      <c r="K122" s="163">
        <f t="shared" si="257"/>
        <v>0</v>
      </c>
      <c r="L122" s="163"/>
      <c r="M122" s="163"/>
      <c r="N122" s="163">
        <f t="shared" si="258"/>
        <v>0</v>
      </c>
      <c r="O122" s="163">
        <f>R122-L122</f>
        <v>0</v>
      </c>
      <c r="P122" s="163"/>
      <c r="Q122" s="164">
        <f t="shared" si="259"/>
        <v>0</v>
      </c>
      <c r="R122" s="164"/>
      <c r="S122" s="164"/>
      <c r="T122" s="164">
        <f t="shared" si="260"/>
        <v>0</v>
      </c>
      <c r="U122" s="164"/>
      <c r="V122" s="164"/>
      <c r="W122" s="164">
        <f t="shared" si="261"/>
        <v>0</v>
      </c>
      <c r="X122" s="164">
        <f>AA122-U122</f>
        <v>0</v>
      </c>
      <c r="Y122" s="164"/>
      <c r="Z122" s="164">
        <f t="shared" si="262"/>
        <v>0</v>
      </c>
      <c r="AA122" s="164"/>
      <c r="AB122" s="164"/>
      <c r="AC122" s="164">
        <f>AD122+AE122</f>
        <v>0</v>
      </c>
      <c r="AD122" s="164"/>
      <c r="AE122" s="164"/>
      <c r="AF122" s="164">
        <f>AG122+AH122</f>
        <v>0</v>
      </c>
      <c r="AG122" s="164"/>
      <c r="AH122" s="164"/>
      <c r="AI122" s="164"/>
      <c r="AJ122" s="164"/>
      <c r="AK122" s="165">
        <f t="shared" si="264"/>
        <v>0</v>
      </c>
      <c r="AL122" s="165">
        <f t="shared" si="264"/>
        <v>0</v>
      </c>
      <c r="AM122" s="164"/>
      <c r="AN122" s="164"/>
      <c r="AO122" s="166">
        <v>1</v>
      </c>
      <c r="AP122" s="164"/>
      <c r="AQ122" s="164"/>
      <c r="AR122" s="164"/>
      <c r="AS122" s="164">
        <f t="shared" si="265"/>
        <v>0</v>
      </c>
      <c r="AT122" s="164"/>
      <c r="AU122" s="164"/>
      <c r="AV122" s="164">
        <f t="shared" si="266"/>
        <v>0</v>
      </c>
      <c r="AW122" s="164">
        <f>AZ122-AT122</f>
        <v>0</v>
      </c>
      <c r="AX122" s="164"/>
      <c r="AY122" s="164">
        <f t="shared" si="267"/>
        <v>0</v>
      </c>
      <c r="AZ122" s="164"/>
      <c r="BA122" s="164"/>
      <c r="BB122" s="164">
        <f t="shared" si="268"/>
        <v>0</v>
      </c>
      <c r="BC122" s="164"/>
      <c r="BD122" s="164"/>
      <c r="BE122" s="164">
        <f t="shared" si="269"/>
        <v>0</v>
      </c>
      <c r="BF122" s="164">
        <f>BW122-BC122</f>
        <v>0</v>
      </c>
      <c r="BG122" s="164"/>
      <c r="BH122" s="164">
        <f t="shared" si="270"/>
        <v>0</v>
      </c>
      <c r="BI122" s="164"/>
      <c r="BJ122" s="164"/>
      <c r="BK122" s="167">
        <v>1</v>
      </c>
      <c r="BL122" s="168">
        <f t="shared" si="271"/>
        <v>0</v>
      </c>
      <c r="BM122" s="168"/>
      <c r="BN122" s="168"/>
      <c r="BO122" s="168"/>
      <c r="BP122" s="168"/>
      <c r="BQ122" s="168"/>
      <c r="BR122" s="168"/>
      <c r="BS122" s="168">
        <f>BT122+BU122</f>
        <v>0</v>
      </c>
      <c r="BT122" s="168">
        <f>AZ122-BN122-BQ122</f>
        <v>0</v>
      </c>
      <c r="BU122" s="168"/>
      <c r="BV122" s="164">
        <f t="shared" si="272"/>
        <v>0</v>
      </c>
      <c r="BW122" s="164"/>
      <c r="BX122" s="164"/>
      <c r="BY122" s="164">
        <f t="shared" si="273"/>
        <v>0</v>
      </c>
      <c r="BZ122" s="164">
        <f>CC122-BW122</f>
        <v>0</v>
      </c>
      <c r="CA122" s="164"/>
      <c r="CB122" s="164">
        <f t="shared" si="274"/>
        <v>0</v>
      </c>
      <c r="CC122" s="164"/>
      <c r="CD122" s="164"/>
      <c r="CE122" s="168">
        <v>1</v>
      </c>
      <c r="CF122" s="168">
        <f t="shared" si="275"/>
        <v>0</v>
      </c>
      <c r="CG122" s="164"/>
      <c r="CH122" s="164">
        <f t="shared" si="276"/>
        <v>0</v>
      </c>
      <c r="CI122" s="164"/>
      <c r="CJ122" s="164"/>
      <c r="CK122" s="164">
        <f t="shared" si="277"/>
        <v>0</v>
      </c>
      <c r="CL122" s="164">
        <f>CR122-CI122</f>
        <v>0</v>
      </c>
      <c r="CM122" s="164"/>
      <c r="CN122" s="164"/>
      <c r="CO122" s="164"/>
      <c r="CP122" s="164"/>
      <c r="CQ122" s="164">
        <f t="shared" si="278"/>
        <v>0</v>
      </c>
      <c r="CR122" s="164"/>
      <c r="CS122" s="164"/>
      <c r="CT122" s="164">
        <f t="shared" si="279"/>
        <v>0</v>
      </c>
      <c r="CU122" s="164"/>
      <c r="CV122" s="164"/>
      <c r="CW122" s="164">
        <f t="shared" si="280"/>
        <v>0</v>
      </c>
      <c r="CX122" s="164"/>
      <c r="CY122" s="164"/>
      <c r="CZ122" s="164">
        <f t="shared" si="281"/>
        <v>0</v>
      </c>
      <c r="DA122" s="164"/>
      <c r="DB122" s="164"/>
      <c r="DC122" s="164"/>
      <c r="DD122" s="164"/>
      <c r="DE122" s="164"/>
      <c r="DF122" s="164">
        <f t="shared" si="282"/>
        <v>0</v>
      </c>
      <c r="DG122" s="164"/>
      <c r="DH122" s="164"/>
      <c r="DI122" s="164">
        <f t="shared" si="283"/>
        <v>0</v>
      </c>
      <c r="DJ122" s="164"/>
      <c r="DK122" s="164"/>
      <c r="DL122" s="164">
        <f t="shared" si="284"/>
        <v>0</v>
      </c>
      <c r="DM122" s="164"/>
      <c r="DN122" s="164"/>
      <c r="DO122" s="164">
        <f t="shared" si="285"/>
        <v>0</v>
      </c>
      <c r="DP122" s="164"/>
      <c r="DQ122" s="164"/>
      <c r="DR122" s="164">
        <f t="shared" si="286"/>
        <v>0</v>
      </c>
      <c r="DS122" s="164"/>
      <c r="DT122" s="164"/>
      <c r="DU122" s="164">
        <f t="shared" si="287"/>
        <v>0</v>
      </c>
      <c r="DV122" s="164"/>
      <c r="DW122" s="164"/>
      <c r="DX122" s="164">
        <f t="shared" si="288"/>
        <v>0</v>
      </c>
      <c r="DY122" s="164"/>
      <c r="DZ122" s="164"/>
      <c r="EA122" s="164"/>
      <c r="EB122" s="164"/>
      <c r="EC122" s="164"/>
      <c r="ED122" s="164"/>
      <c r="EE122" s="164"/>
      <c r="EF122" s="164"/>
      <c r="EG122" s="164">
        <f t="shared" si="298"/>
        <v>21949.45</v>
      </c>
      <c r="EH122" s="164">
        <v>21949.45</v>
      </c>
      <c r="EI122" s="164"/>
      <c r="EJ122" s="164"/>
      <c r="EK122" s="164">
        <f t="shared" si="289"/>
        <v>0</v>
      </c>
      <c r="EL122" s="164"/>
      <c r="EM122" s="164"/>
      <c r="EN122" s="164"/>
      <c r="EO122" s="164">
        <f t="shared" si="290"/>
        <v>0</v>
      </c>
      <c r="EP122" s="164"/>
      <c r="EQ122" s="164"/>
      <c r="ER122" s="164"/>
      <c r="ES122" s="164">
        <f>ET122+EV122</f>
        <v>0</v>
      </c>
      <c r="ET122" s="164"/>
      <c r="EU122" s="164"/>
      <c r="EV122" s="164"/>
      <c r="EW122" s="164">
        <f t="shared" si="291"/>
        <v>0</v>
      </c>
      <c r="EX122" s="164"/>
      <c r="EY122" s="164"/>
      <c r="EZ122" s="164"/>
      <c r="FA122" s="164"/>
      <c r="FB122" s="164"/>
      <c r="FC122" s="163">
        <f t="shared" si="299"/>
        <v>25722.69627</v>
      </c>
      <c r="FD122" s="163">
        <v>25722.69627</v>
      </c>
      <c r="FE122" s="163"/>
      <c r="FF122" s="163"/>
      <c r="FG122" s="163">
        <f t="shared" si="292"/>
        <v>600.58455999999933</v>
      </c>
      <c r="FH122" s="163">
        <f>FP122-FD122</f>
        <v>600.58455999999933</v>
      </c>
      <c r="FI122" s="163"/>
      <c r="FJ122" s="163"/>
      <c r="FK122" s="163">
        <f t="shared" si="293"/>
        <v>0</v>
      </c>
      <c r="FL122" s="163"/>
      <c r="FM122" s="163"/>
      <c r="FN122" s="163"/>
      <c r="FO122" s="163">
        <f t="shared" si="300"/>
        <v>26323.28083</v>
      </c>
      <c r="FP122" s="163">
        <f>FD122+600.58456</f>
        <v>26323.28083</v>
      </c>
      <c r="FQ122" s="163"/>
      <c r="FR122" s="163"/>
      <c r="FS122" s="90">
        <f t="shared" si="195"/>
        <v>83269.085620000027</v>
      </c>
      <c r="FT122" s="518">
        <f t="shared" si="241"/>
        <v>3.2371834097779062</v>
      </c>
      <c r="FU122" s="90">
        <f>233026.71462-FU123</f>
        <v>83269.085620000027</v>
      </c>
      <c r="FV122" s="518">
        <f t="shared" si="242"/>
        <v>3.2371834097779062</v>
      </c>
      <c r="FW122" s="87"/>
      <c r="FX122" s="665"/>
      <c r="FY122" s="90"/>
      <c r="FZ122" s="665"/>
      <c r="GA122" s="90">
        <f t="shared" si="247"/>
        <v>8333.6855400000004</v>
      </c>
      <c r="GB122" s="518">
        <f t="shared" si="248"/>
        <v>0.32398180394951265</v>
      </c>
      <c r="GC122" s="90">
        <v>8333.6855400000004</v>
      </c>
      <c r="GD122" s="518">
        <f t="shared" si="249"/>
        <v>0.32398180394951265</v>
      </c>
      <c r="GE122" s="87"/>
      <c r="GF122" s="515"/>
      <c r="GG122" s="87"/>
      <c r="GH122" s="515"/>
      <c r="GI122" s="90">
        <f t="shared" si="243"/>
        <v>13937.706510000018</v>
      </c>
      <c r="GJ122" s="518">
        <f t="shared" si="244"/>
        <v>0.54184469480578357</v>
      </c>
      <c r="GK122" s="90">
        <f>163695.33551-GK123</f>
        <v>13937.706510000018</v>
      </c>
      <c r="GL122" s="518">
        <f t="shared" si="245"/>
        <v>0.54184469480578357</v>
      </c>
      <c r="GM122" s="90"/>
      <c r="GN122" s="518"/>
      <c r="GO122" s="90"/>
      <c r="GP122" s="518"/>
      <c r="GQ122" s="164"/>
      <c r="GR122" s="164"/>
      <c r="GS122" s="164"/>
      <c r="GT122" s="164"/>
      <c r="GU122" s="164">
        <f t="shared" si="301"/>
        <v>14345.1</v>
      </c>
      <c r="GV122" s="164">
        <v>14345.1</v>
      </c>
      <c r="GW122" s="164"/>
      <c r="GX122" s="164"/>
      <c r="GY122" s="164"/>
      <c r="GZ122" s="164"/>
      <c r="HA122" s="164"/>
      <c r="HB122" s="164"/>
      <c r="HC122" s="164"/>
      <c r="HD122" s="164"/>
      <c r="HE122" s="164"/>
      <c r="HF122" s="164"/>
      <c r="HG122" s="164"/>
      <c r="HH122" s="164"/>
      <c r="HI122" s="164"/>
      <c r="HJ122" s="164"/>
      <c r="HK122" s="164">
        <f>HL122</f>
        <v>0</v>
      </c>
      <c r="HL122" s="164"/>
      <c r="HM122" s="164"/>
      <c r="HN122" s="164"/>
      <c r="HO122" s="164">
        <f t="shared" si="302"/>
        <v>14345.1</v>
      </c>
      <c r="HP122" s="164">
        <f>GV122</f>
        <v>14345.1</v>
      </c>
      <c r="HQ122" s="164"/>
      <c r="HR122" s="164"/>
      <c r="HS122" s="164">
        <f t="shared" si="303"/>
        <v>4926.8</v>
      </c>
      <c r="HT122" s="164">
        <v>4926.8</v>
      </c>
      <c r="HU122" s="164"/>
      <c r="HV122" s="164"/>
      <c r="HW122" s="164"/>
      <c r="HX122" s="164"/>
      <c r="HY122" s="164"/>
      <c r="HZ122" s="164"/>
      <c r="IA122" s="164">
        <f t="shared" si="304"/>
        <v>4926.8</v>
      </c>
      <c r="IB122" s="164">
        <f>HT122</f>
        <v>4926.8</v>
      </c>
      <c r="IC122" s="164"/>
      <c r="ID122" s="164"/>
      <c r="IE122" s="185"/>
      <c r="IF122" s="170"/>
      <c r="IG122" s="170"/>
      <c r="IH122" s="170"/>
    </row>
    <row r="123" spans="2:249" s="171" customFormat="1" ht="62.25" hidden="1" customHeight="1" x14ac:dyDescent="0.25">
      <c r="B123" s="160"/>
      <c r="C123" s="161" t="s">
        <v>161</v>
      </c>
      <c r="D123" s="162"/>
      <c r="E123" s="163"/>
      <c r="F123" s="163"/>
      <c r="G123" s="163"/>
      <c r="H123" s="163"/>
      <c r="I123" s="163"/>
      <c r="J123" s="163"/>
      <c r="K123" s="163"/>
      <c r="L123" s="163"/>
      <c r="M123" s="163"/>
      <c r="N123" s="163"/>
      <c r="O123" s="163"/>
      <c r="P123" s="163"/>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5"/>
      <c r="AL123" s="165"/>
      <c r="AM123" s="164"/>
      <c r="AN123" s="164"/>
      <c r="AO123" s="166"/>
      <c r="AP123" s="164"/>
      <c r="AQ123" s="164"/>
      <c r="AR123" s="164"/>
      <c r="AS123" s="164"/>
      <c r="AT123" s="164"/>
      <c r="AU123" s="164"/>
      <c r="AV123" s="164"/>
      <c r="AW123" s="164"/>
      <c r="AX123" s="164"/>
      <c r="AY123" s="164"/>
      <c r="AZ123" s="164"/>
      <c r="BA123" s="164"/>
      <c r="BB123" s="164"/>
      <c r="BC123" s="164"/>
      <c r="BD123" s="164"/>
      <c r="BE123" s="164"/>
      <c r="BF123" s="164"/>
      <c r="BG123" s="164"/>
      <c r="BH123" s="164"/>
      <c r="BI123" s="164"/>
      <c r="BJ123" s="164"/>
      <c r="BK123" s="167"/>
      <c r="BL123" s="168"/>
      <c r="BM123" s="168"/>
      <c r="BN123" s="168"/>
      <c r="BO123" s="168"/>
      <c r="BP123" s="168"/>
      <c r="BQ123" s="168"/>
      <c r="BR123" s="168"/>
      <c r="BS123" s="168"/>
      <c r="BT123" s="168"/>
      <c r="BU123" s="168"/>
      <c r="BV123" s="164"/>
      <c r="BW123" s="164"/>
      <c r="BX123" s="164"/>
      <c r="BY123" s="164"/>
      <c r="BZ123" s="164"/>
      <c r="CA123" s="164"/>
      <c r="CB123" s="164"/>
      <c r="CC123" s="164"/>
      <c r="CD123" s="164"/>
      <c r="CE123" s="168"/>
      <c r="CF123" s="168"/>
      <c r="CG123" s="164"/>
      <c r="CH123" s="164"/>
      <c r="CI123" s="164"/>
      <c r="CJ123" s="164"/>
      <c r="CK123" s="164"/>
      <c r="CL123" s="164"/>
      <c r="CM123" s="164"/>
      <c r="CN123" s="164"/>
      <c r="CO123" s="164"/>
      <c r="CP123" s="164"/>
      <c r="CQ123" s="164"/>
      <c r="CR123" s="164"/>
      <c r="CS123" s="164"/>
      <c r="CT123" s="164"/>
      <c r="CU123" s="164"/>
      <c r="CV123" s="164"/>
      <c r="CW123" s="164"/>
      <c r="CX123" s="164"/>
      <c r="CY123" s="164"/>
      <c r="CZ123" s="164"/>
      <c r="DA123" s="164"/>
      <c r="DB123" s="164"/>
      <c r="DC123" s="164"/>
      <c r="DD123" s="164"/>
      <c r="DE123" s="164"/>
      <c r="DF123" s="164"/>
      <c r="DG123" s="164"/>
      <c r="DH123" s="164"/>
      <c r="DI123" s="164"/>
      <c r="DJ123" s="164"/>
      <c r="DK123" s="164"/>
      <c r="DL123" s="164"/>
      <c r="DM123" s="164"/>
      <c r="DN123" s="164"/>
      <c r="DO123" s="164"/>
      <c r="DP123" s="164"/>
      <c r="DQ123" s="164"/>
      <c r="DR123" s="164"/>
      <c r="DS123" s="164"/>
      <c r="DT123" s="164"/>
      <c r="DU123" s="164"/>
      <c r="DV123" s="164"/>
      <c r="DW123" s="164"/>
      <c r="DX123" s="164"/>
      <c r="DY123" s="164"/>
      <c r="DZ123" s="164"/>
      <c r="EA123" s="164"/>
      <c r="EB123" s="164"/>
      <c r="EC123" s="164"/>
      <c r="ED123" s="164"/>
      <c r="EE123" s="164"/>
      <c r="EF123" s="164"/>
      <c r="EG123" s="164">
        <f t="shared" si="298"/>
        <v>0</v>
      </c>
      <c r="EH123" s="164">
        <v>0</v>
      </c>
      <c r="EI123" s="164"/>
      <c r="EJ123" s="164"/>
      <c r="EK123" s="164"/>
      <c r="EL123" s="164"/>
      <c r="EM123" s="164"/>
      <c r="EN123" s="164"/>
      <c r="EO123" s="164"/>
      <c r="EP123" s="164"/>
      <c r="EQ123" s="164"/>
      <c r="ER123" s="164"/>
      <c r="ES123" s="164">
        <f>ET123+EV123</f>
        <v>185077.88829</v>
      </c>
      <c r="ET123" s="164">
        <f>FP123-EH123</f>
        <v>185077.88829</v>
      </c>
      <c r="EU123" s="164"/>
      <c r="EV123" s="164"/>
      <c r="EW123" s="164"/>
      <c r="EX123" s="164"/>
      <c r="EY123" s="164"/>
      <c r="EZ123" s="164"/>
      <c r="FA123" s="164"/>
      <c r="FB123" s="164"/>
      <c r="FC123" s="163">
        <f t="shared" si="299"/>
        <v>185077.88829</v>
      </c>
      <c r="FD123" s="163">
        <v>185077.88829</v>
      </c>
      <c r="FE123" s="163"/>
      <c r="FF123" s="163"/>
      <c r="FG123" s="163">
        <f t="shared" si="292"/>
        <v>0</v>
      </c>
      <c r="FH123" s="163">
        <f>FP123-FD123</f>
        <v>0</v>
      </c>
      <c r="FI123" s="163"/>
      <c r="FJ123" s="163"/>
      <c r="FK123" s="163"/>
      <c r="FL123" s="163"/>
      <c r="FM123" s="163"/>
      <c r="FN123" s="163"/>
      <c r="FO123" s="163">
        <f t="shared" si="300"/>
        <v>185077.88829</v>
      </c>
      <c r="FP123" s="163">
        <f>FD123</f>
        <v>185077.88829</v>
      </c>
      <c r="FQ123" s="163"/>
      <c r="FR123" s="163"/>
      <c r="FS123" s="90">
        <f t="shared" si="195"/>
        <v>149757.62899999999</v>
      </c>
      <c r="FT123" s="518">
        <f t="shared" si="241"/>
        <v>0.80916002653619856</v>
      </c>
      <c r="FU123" s="90">
        <v>149757.62899999999</v>
      </c>
      <c r="FV123" s="518">
        <f t="shared" si="242"/>
        <v>0.80916002653619856</v>
      </c>
      <c r="FW123" s="87"/>
      <c r="FX123" s="665"/>
      <c r="FY123" s="90"/>
      <c r="FZ123" s="665"/>
      <c r="GA123" s="90">
        <f t="shared" si="247"/>
        <v>137221.321</v>
      </c>
      <c r="GB123" s="518">
        <f t="shared" si="248"/>
        <v>0.74142471727895898</v>
      </c>
      <c r="GC123" s="90">
        <v>137221.321</v>
      </c>
      <c r="GD123" s="518">
        <f t="shared" si="249"/>
        <v>0.74142471727895898</v>
      </c>
      <c r="GE123" s="87"/>
      <c r="GF123" s="515"/>
      <c r="GG123" s="87"/>
      <c r="GH123" s="515"/>
      <c r="GI123" s="90">
        <f t="shared" si="243"/>
        <v>149757.62899999999</v>
      </c>
      <c r="GJ123" s="518">
        <f t="shared" si="244"/>
        <v>0.80916002653619856</v>
      </c>
      <c r="GK123" s="90">
        <v>149757.62899999999</v>
      </c>
      <c r="GL123" s="518">
        <f t="shared" si="245"/>
        <v>0.80916002653619856</v>
      </c>
      <c r="GM123" s="90"/>
      <c r="GN123" s="518"/>
      <c r="GO123" s="90"/>
      <c r="GP123" s="518"/>
      <c r="GQ123" s="164"/>
      <c r="GR123" s="164"/>
      <c r="GS123" s="164"/>
      <c r="GT123" s="164"/>
      <c r="GU123" s="164">
        <f>GV123</f>
        <v>193153</v>
      </c>
      <c r="GV123" s="164">
        <v>193153</v>
      </c>
      <c r="GW123" s="164"/>
      <c r="GX123" s="164"/>
      <c r="GY123" s="164"/>
      <c r="GZ123" s="164"/>
      <c r="HA123" s="164"/>
      <c r="HB123" s="164"/>
      <c r="HC123" s="164"/>
      <c r="HD123" s="164"/>
      <c r="HE123" s="164"/>
      <c r="HF123" s="164"/>
      <c r="HG123" s="164"/>
      <c r="HH123" s="164"/>
      <c r="HI123" s="164"/>
      <c r="HJ123" s="164"/>
      <c r="HK123" s="164" t="e">
        <f>HL123</f>
        <v>#REF!</v>
      </c>
      <c r="HL123" s="164" t="e">
        <f>GV123-#REF!</f>
        <v>#REF!</v>
      </c>
      <c r="HM123" s="164"/>
      <c r="HN123" s="164"/>
      <c r="HO123" s="164">
        <f>GV123</f>
        <v>193153</v>
      </c>
      <c r="HP123" s="164">
        <f>GV123</f>
        <v>193153</v>
      </c>
      <c r="HQ123" s="164"/>
      <c r="HR123" s="164"/>
      <c r="HS123" s="164"/>
      <c r="HT123" s="164"/>
      <c r="HU123" s="164"/>
      <c r="HV123" s="164"/>
      <c r="HW123" s="164"/>
      <c r="HX123" s="164"/>
      <c r="HY123" s="164"/>
      <c r="HZ123" s="164"/>
      <c r="IA123" s="164"/>
      <c r="IB123" s="164"/>
      <c r="IC123" s="164"/>
      <c r="ID123" s="164"/>
      <c r="IE123" s="185"/>
      <c r="IF123" s="170"/>
      <c r="IG123" s="170"/>
      <c r="IH123" s="170"/>
    </row>
    <row r="124" spans="2:249" s="127" customFormat="1" ht="46.5" customHeight="1" x14ac:dyDescent="0.25">
      <c r="B124" s="115"/>
      <c r="C124" s="116" t="s">
        <v>132</v>
      </c>
      <c r="D124" s="117"/>
      <c r="E124" s="118"/>
      <c r="F124" s="118"/>
      <c r="G124" s="118"/>
      <c r="H124" s="118"/>
      <c r="I124" s="118"/>
      <c r="J124" s="118"/>
      <c r="K124" s="118"/>
      <c r="L124" s="118"/>
      <c r="M124" s="118"/>
      <c r="N124" s="118"/>
      <c r="O124" s="118"/>
      <c r="P124" s="118"/>
      <c r="Q124" s="119"/>
      <c r="R124" s="119"/>
      <c r="S124" s="119"/>
      <c r="T124" s="119"/>
      <c r="U124" s="119"/>
      <c r="V124" s="119"/>
      <c r="W124" s="119"/>
      <c r="X124" s="119"/>
      <c r="Y124" s="119"/>
      <c r="Z124" s="119"/>
      <c r="AA124" s="119"/>
      <c r="AB124" s="119"/>
      <c r="AC124" s="119"/>
      <c r="AD124" s="119"/>
      <c r="AE124" s="119"/>
      <c r="AF124" s="119"/>
      <c r="AG124" s="119"/>
      <c r="AH124" s="119"/>
      <c r="AI124" s="120"/>
      <c r="AJ124" s="119"/>
      <c r="AK124" s="119"/>
      <c r="AL124" s="119"/>
      <c r="AM124" s="121"/>
      <c r="AN124" s="119"/>
      <c r="AO124" s="122"/>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23"/>
      <c r="BL124" s="124"/>
      <c r="BM124" s="124"/>
      <c r="BN124" s="124"/>
      <c r="BO124" s="124"/>
      <c r="BP124" s="124"/>
      <c r="BQ124" s="124"/>
      <c r="BR124" s="124"/>
      <c r="BS124" s="124"/>
      <c r="BT124" s="124"/>
      <c r="BU124" s="124"/>
      <c r="BV124" s="119"/>
      <c r="BW124" s="119"/>
      <c r="BX124" s="119"/>
      <c r="BY124" s="119"/>
      <c r="BZ124" s="119"/>
      <c r="CA124" s="119"/>
      <c r="CB124" s="119"/>
      <c r="CC124" s="119"/>
      <c r="CD124" s="119"/>
      <c r="CE124" s="124"/>
      <c r="CF124" s="124"/>
      <c r="CG124" s="119"/>
      <c r="CH124" s="119"/>
      <c r="CI124" s="119"/>
      <c r="CJ124" s="119"/>
      <c r="CK124" s="119"/>
      <c r="CL124" s="119"/>
      <c r="CM124" s="119"/>
      <c r="CN124" s="119"/>
      <c r="CO124" s="119"/>
      <c r="CP124" s="119"/>
      <c r="CQ124" s="119"/>
      <c r="CR124" s="119"/>
      <c r="CS124" s="119"/>
      <c r="CT124" s="119"/>
      <c r="CU124" s="119"/>
      <c r="CV124" s="119"/>
      <c r="CW124" s="119"/>
      <c r="CX124" s="119"/>
      <c r="CY124" s="119"/>
      <c r="CZ124" s="119"/>
      <c r="DA124" s="119"/>
      <c r="DB124" s="119"/>
      <c r="DC124" s="119"/>
      <c r="DD124" s="119"/>
      <c r="DE124" s="119"/>
      <c r="DF124" s="119"/>
      <c r="DG124" s="119"/>
      <c r="DH124" s="119"/>
      <c r="DI124" s="119"/>
      <c r="DJ124" s="119"/>
      <c r="DK124" s="119"/>
      <c r="DL124" s="119"/>
      <c r="DM124" s="119"/>
      <c r="DN124" s="119"/>
      <c r="DO124" s="119"/>
      <c r="DP124" s="119"/>
      <c r="DQ124" s="119"/>
      <c r="DR124" s="119"/>
      <c r="DS124" s="119"/>
      <c r="DT124" s="119"/>
      <c r="DU124" s="119"/>
      <c r="DV124" s="119"/>
      <c r="DW124" s="119"/>
      <c r="DX124" s="119"/>
      <c r="DY124" s="119"/>
      <c r="DZ124" s="119"/>
      <c r="EA124" s="119"/>
      <c r="EB124" s="119"/>
      <c r="EC124" s="119"/>
      <c r="ED124" s="119"/>
      <c r="EE124" s="119"/>
      <c r="EF124" s="119"/>
      <c r="EG124" s="119">
        <f t="shared" si="298"/>
        <v>426500</v>
      </c>
      <c r="EH124" s="119">
        <v>426500</v>
      </c>
      <c r="EI124" s="119"/>
      <c r="EJ124" s="119"/>
      <c r="EK124" s="119">
        <f t="shared" si="289"/>
        <v>0</v>
      </c>
      <c r="EL124" s="119"/>
      <c r="EM124" s="119"/>
      <c r="EN124" s="119"/>
      <c r="EO124" s="119"/>
      <c r="EP124" s="119"/>
      <c r="EQ124" s="119"/>
      <c r="ER124" s="119"/>
      <c r="ES124" s="119">
        <f>ET124</f>
        <v>0</v>
      </c>
      <c r="ET124" s="119">
        <v>0</v>
      </c>
      <c r="EU124" s="119"/>
      <c r="EV124" s="119"/>
      <c r="EW124" s="119"/>
      <c r="EX124" s="119"/>
      <c r="EY124" s="119"/>
      <c r="EZ124" s="119"/>
      <c r="FA124" s="119"/>
      <c r="FB124" s="119"/>
      <c r="FC124" s="118">
        <f t="shared" si="299"/>
        <v>426500</v>
      </c>
      <c r="FD124" s="118">
        <v>426500</v>
      </c>
      <c r="FE124" s="118"/>
      <c r="FF124" s="118"/>
      <c r="FG124" s="118">
        <f t="shared" si="292"/>
        <v>0</v>
      </c>
      <c r="FH124" s="118">
        <f>FP124-FD124</f>
        <v>0</v>
      </c>
      <c r="FI124" s="118"/>
      <c r="FJ124" s="118"/>
      <c r="FK124" s="118"/>
      <c r="FL124" s="118"/>
      <c r="FM124" s="118"/>
      <c r="FN124" s="118"/>
      <c r="FO124" s="118">
        <f t="shared" si="300"/>
        <v>426500</v>
      </c>
      <c r="FP124" s="118">
        <v>426500</v>
      </c>
      <c r="FQ124" s="118"/>
      <c r="FR124" s="118"/>
      <c r="FS124" s="74">
        <f t="shared" si="195"/>
        <v>112602.09874</v>
      </c>
      <c r="FT124" s="487">
        <f t="shared" si="241"/>
        <v>0.26401429950762018</v>
      </c>
      <c r="FU124" s="74">
        <f>101341.88887+11260.20987</f>
        <v>112602.09874</v>
      </c>
      <c r="FV124" s="487">
        <f t="shared" si="242"/>
        <v>0.26401429950762018</v>
      </c>
      <c r="FW124" s="73"/>
      <c r="FX124" s="662"/>
      <c r="FY124" s="74"/>
      <c r="FZ124" s="662"/>
      <c r="GA124" s="74">
        <f t="shared" si="247"/>
        <v>171696.63532</v>
      </c>
      <c r="GB124" s="487">
        <f t="shared" si="248"/>
        <v>0.40257124342321221</v>
      </c>
      <c r="GC124" s="74">
        <f>167789.62368+3907.01164</f>
        <v>171696.63532</v>
      </c>
      <c r="GD124" s="487">
        <f t="shared" si="249"/>
        <v>0.40257124342321221</v>
      </c>
      <c r="GE124" s="73"/>
      <c r="GF124" s="513"/>
      <c r="GG124" s="73"/>
      <c r="GH124" s="513"/>
      <c r="GI124" s="74">
        <f t="shared" si="243"/>
        <v>426500</v>
      </c>
      <c r="GJ124" s="487">
        <f t="shared" si="244"/>
        <v>1</v>
      </c>
      <c r="GK124" s="74">
        <v>426500</v>
      </c>
      <c r="GL124" s="487">
        <f t="shared" si="245"/>
        <v>1</v>
      </c>
      <c r="GM124" s="74"/>
      <c r="GN124" s="487"/>
      <c r="GO124" s="74"/>
      <c r="GP124" s="487"/>
      <c r="GQ124" s="119"/>
      <c r="GR124" s="119"/>
      <c r="GS124" s="119"/>
      <c r="GT124" s="119"/>
      <c r="GU124" s="119">
        <f t="shared" si="301"/>
        <v>627000</v>
      </c>
      <c r="GV124" s="119">
        <v>627000</v>
      </c>
      <c r="GW124" s="119"/>
      <c r="GX124" s="119"/>
      <c r="GY124" s="119"/>
      <c r="GZ124" s="119"/>
      <c r="HA124" s="119"/>
      <c r="HB124" s="119"/>
      <c r="HC124" s="119"/>
      <c r="HD124" s="119"/>
      <c r="HE124" s="119"/>
      <c r="HF124" s="119"/>
      <c r="HG124" s="119">
        <f>HH124+HJ124</f>
        <v>-127000</v>
      </c>
      <c r="HH124" s="119">
        <f>HP124-GV124</f>
        <v>-127000</v>
      </c>
      <c r="HI124" s="119"/>
      <c r="HJ124" s="119"/>
      <c r="HK124" s="119"/>
      <c r="HL124" s="119"/>
      <c r="HM124" s="119"/>
      <c r="HN124" s="119"/>
      <c r="HO124" s="119">
        <f t="shared" si="302"/>
        <v>500000</v>
      </c>
      <c r="HP124" s="119">
        <v>500000</v>
      </c>
      <c r="HQ124" s="119"/>
      <c r="HR124" s="119"/>
      <c r="HS124" s="119">
        <f t="shared" si="303"/>
        <v>0</v>
      </c>
      <c r="HT124" s="119">
        <v>0</v>
      </c>
      <c r="HU124" s="119"/>
      <c r="HV124" s="119"/>
      <c r="HW124" s="119">
        <f>HX124</f>
        <v>423500</v>
      </c>
      <c r="HX124" s="119">
        <f>IB124-HT124</f>
        <v>423500</v>
      </c>
      <c r="HY124" s="119"/>
      <c r="HZ124" s="119"/>
      <c r="IA124" s="119">
        <f t="shared" si="304"/>
        <v>423500</v>
      </c>
      <c r="IB124" s="119">
        <v>423500</v>
      </c>
      <c r="IC124" s="119"/>
      <c r="ID124" s="119"/>
      <c r="IE124" s="125"/>
      <c r="IF124" s="126"/>
      <c r="IG124" s="126"/>
      <c r="IH124" s="126"/>
    </row>
    <row r="125" spans="2:249" s="212" customFormat="1" ht="55.5" hidden="1" customHeight="1" x14ac:dyDescent="0.25">
      <c r="B125" s="178" t="s">
        <v>211</v>
      </c>
      <c r="C125" s="206" t="s">
        <v>212</v>
      </c>
      <c r="D125" s="187"/>
      <c r="E125" s="188"/>
      <c r="F125" s="188"/>
      <c r="G125" s="188"/>
      <c r="H125" s="188"/>
      <c r="I125" s="188"/>
      <c r="J125" s="188"/>
      <c r="K125" s="188"/>
      <c r="L125" s="188"/>
      <c r="M125" s="188"/>
      <c r="N125" s="188"/>
      <c r="O125" s="188"/>
      <c r="P125" s="188"/>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2"/>
      <c r="AL125" s="182"/>
      <c r="AM125" s="189"/>
      <c r="AN125" s="189"/>
      <c r="AO125" s="109"/>
      <c r="AP125" s="189"/>
      <c r="AQ125" s="189"/>
      <c r="AR125" s="189"/>
      <c r="AS125" s="189"/>
      <c r="AT125" s="189"/>
      <c r="AU125" s="189"/>
      <c r="AV125" s="189"/>
      <c r="AW125" s="189"/>
      <c r="AX125" s="189"/>
      <c r="AY125" s="189"/>
      <c r="AZ125" s="189"/>
      <c r="BA125" s="189"/>
      <c r="BB125" s="189"/>
      <c r="BC125" s="189"/>
      <c r="BD125" s="189"/>
      <c r="BE125" s="189"/>
      <c r="BF125" s="189"/>
      <c r="BG125" s="189"/>
      <c r="BH125" s="189"/>
      <c r="BI125" s="189"/>
      <c r="BJ125" s="189"/>
      <c r="BK125" s="110"/>
      <c r="BL125" s="106"/>
      <c r="BM125" s="106"/>
      <c r="BN125" s="106"/>
      <c r="BO125" s="106"/>
      <c r="BP125" s="106"/>
      <c r="BQ125" s="106"/>
      <c r="BR125" s="106"/>
      <c r="BS125" s="106"/>
      <c r="BT125" s="106"/>
      <c r="BU125" s="106"/>
      <c r="BV125" s="189"/>
      <c r="BW125" s="189"/>
      <c r="BX125" s="189"/>
      <c r="BY125" s="189"/>
      <c r="BZ125" s="189"/>
      <c r="CA125" s="189"/>
      <c r="CB125" s="189"/>
      <c r="CC125" s="189"/>
      <c r="CD125" s="189"/>
      <c r="CE125" s="106"/>
      <c r="CF125" s="106"/>
      <c r="CG125" s="189"/>
      <c r="CH125" s="189"/>
      <c r="CI125" s="189"/>
      <c r="CJ125" s="189"/>
      <c r="CK125" s="189"/>
      <c r="CL125" s="189"/>
      <c r="CM125" s="189"/>
      <c r="CN125" s="189"/>
      <c r="CO125" s="189"/>
      <c r="CP125" s="189"/>
      <c r="CQ125" s="189"/>
      <c r="CR125" s="189"/>
      <c r="CS125" s="189"/>
      <c r="CT125" s="189"/>
      <c r="CU125" s="189"/>
      <c r="CV125" s="189"/>
      <c r="CW125" s="181">
        <f t="shared" si="280"/>
        <v>498.14551</v>
      </c>
      <c r="CX125" s="182">
        <f>CX126+CX127</f>
        <v>498.14551</v>
      </c>
      <c r="CY125" s="189"/>
      <c r="CZ125" s="189"/>
      <c r="DA125" s="189"/>
      <c r="DB125" s="189"/>
      <c r="DC125" s="189"/>
      <c r="DD125" s="189"/>
      <c r="DE125" s="189"/>
      <c r="DF125" s="181">
        <f t="shared" si="282"/>
        <v>0</v>
      </c>
      <c r="DG125" s="182">
        <f>SUM(DG126:DG127)</f>
        <v>0</v>
      </c>
      <c r="DH125" s="182"/>
      <c r="DI125" s="181">
        <f t="shared" si="283"/>
        <v>498.14551</v>
      </c>
      <c r="DJ125" s="182">
        <f>SUM(DJ126:DJ127)</f>
        <v>498.14551</v>
      </c>
      <c r="DK125" s="189"/>
      <c r="DL125" s="181">
        <f t="shared" si="284"/>
        <v>498.14551</v>
      </c>
      <c r="DM125" s="182">
        <f>SUM(DM126:DM127)</f>
        <v>498.14551</v>
      </c>
      <c r="DN125" s="189"/>
      <c r="DO125" s="181">
        <f t="shared" si="285"/>
        <v>0</v>
      </c>
      <c r="DP125" s="182">
        <f>SUM(DP126:DP127)</f>
        <v>0</v>
      </c>
      <c r="DQ125" s="189"/>
      <c r="DR125" s="181">
        <f t="shared" si="286"/>
        <v>0</v>
      </c>
      <c r="DS125" s="182">
        <f>SUM(DS126:DS127)</f>
        <v>0</v>
      </c>
      <c r="DT125" s="189"/>
      <c r="DU125" s="181">
        <f>DV125</f>
        <v>0</v>
      </c>
      <c r="DV125" s="182"/>
      <c r="DW125" s="189"/>
      <c r="DX125" s="189"/>
      <c r="DY125" s="189"/>
      <c r="DZ125" s="189"/>
      <c r="EA125" s="189"/>
      <c r="EB125" s="189"/>
      <c r="EC125" s="189"/>
      <c r="ED125" s="189"/>
      <c r="EE125" s="189"/>
      <c r="EF125" s="189"/>
      <c r="EG125" s="106">
        <f t="shared" si="298"/>
        <v>0</v>
      </c>
      <c r="EH125" s="106">
        <f>EH126</f>
        <v>0</v>
      </c>
      <c r="EI125" s="106"/>
      <c r="EJ125" s="189"/>
      <c r="EK125" s="189"/>
      <c r="EL125" s="189"/>
      <c r="EM125" s="189"/>
      <c r="EN125" s="189"/>
      <c r="EO125" s="189"/>
      <c r="EP125" s="189"/>
      <c r="EQ125" s="189"/>
      <c r="ER125" s="189"/>
      <c r="ES125" s="164">
        <f>ET125+EV125</f>
        <v>0</v>
      </c>
      <c r="ET125" s="106">
        <f>ET126+ET127</f>
        <v>0</v>
      </c>
      <c r="EU125" s="189"/>
      <c r="EV125" s="189"/>
      <c r="EW125" s="106">
        <f>EX125</f>
        <v>0</v>
      </c>
      <c r="EX125" s="189">
        <f>EX127</f>
        <v>0</v>
      </c>
      <c r="EY125" s="189"/>
      <c r="EZ125" s="189"/>
      <c r="FA125" s="189"/>
      <c r="FB125" s="189"/>
      <c r="FC125" s="104">
        <f t="shared" si="299"/>
        <v>0</v>
      </c>
      <c r="FD125" s="104">
        <f>FD126</f>
        <v>0</v>
      </c>
      <c r="FE125" s="104"/>
      <c r="FF125" s="188"/>
      <c r="FG125" s="188"/>
      <c r="FH125" s="188"/>
      <c r="FI125" s="188"/>
      <c r="FJ125" s="188"/>
      <c r="FK125" s="188"/>
      <c r="FL125" s="188"/>
      <c r="FM125" s="188"/>
      <c r="FN125" s="188"/>
      <c r="FO125" s="104">
        <f t="shared" si="300"/>
        <v>0</v>
      </c>
      <c r="FP125" s="104">
        <f>FP126</f>
        <v>0</v>
      </c>
      <c r="FQ125" s="104"/>
      <c r="FR125" s="188"/>
      <c r="FS125" s="39">
        <f t="shared" si="195"/>
        <v>0</v>
      </c>
      <c r="FT125" s="485" t="e">
        <f t="shared" si="241"/>
        <v>#DIV/0!</v>
      </c>
      <c r="FU125" s="39">
        <v>0</v>
      </c>
      <c r="FV125" s="485" t="e">
        <f t="shared" si="242"/>
        <v>#DIV/0!</v>
      </c>
      <c r="FW125" s="38"/>
      <c r="FX125" s="660"/>
      <c r="FY125" s="39"/>
      <c r="FZ125" s="660"/>
      <c r="GA125" s="39">
        <f t="shared" si="247"/>
        <v>0</v>
      </c>
      <c r="GB125" s="485" t="e">
        <f t="shared" si="248"/>
        <v>#DIV/0!</v>
      </c>
      <c r="GC125" s="39">
        <v>0</v>
      </c>
      <c r="GD125" s="485" t="e">
        <f t="shared" si="249"/>
        <v>#DIV/0!</v>
      </c>
      <c r="GE125" s="82"/>
      <c r="GF125" s="498"/>
      <c r="GG125" s="82"/>
      <c r="GH125" s="498"/>
      <c r="GI125" s="90">
        <f t="shared" si="243"/>
        <v>0</v>
      </c>
      <c r="GJ125" s="485" t="e">
        <f t="shared" si="244"/>
        <v>#DIV/0!</v>
      </c>
      <c r="GK125" s="90">
        <f>GK373+GK423</f>
        <v>0</v>
      </c>
      <c r="GL125" s="485" t="e">
        <f t="shared" si="245"/>
        <v>#DIV/0!</v>
      </c>
      <c r="GM125" s="90">
        <f>GM373+GM423</f>
        <v>0</v>
      </c>
      <c r="GN125" s="485" t="e">
        <f>GM125/FE125</f>
        <v>#DIV/0!</v>
      </c>
      <c r="GO125" s="90">
        <f>GO373+GO423</f>
        <v>0</v>
      </c>
      <c r="GP125" s="485" t="e">
        <f t="shared" si="294"/>
        <v>#DIV/0!</v>
      </c>
      <c r="GQ125" s="189"/>
      <c r="GR125" s="189"/>
      <c r="GS125" s="189"/>
      <c r="GT125" s="189"/>
      <c r="GU125" s="106">
        <f t="shared" si="301"/>
        <v>0</v>
      </c>
      <c r="GV125" s="106">
        <f>GV126</f>
        <v>0</v>
      </c>
      <c r="GW125" s="106"/>
      <c r="GX125" s="189"/>
      <c r="GY125" s="189"/>
      <c r="GZ125" s="189"/>
      <c r="HA125" s="189"/>
      <c r="HB125" s="189"/>
      <c r="HC125" s="189"/>
      <c r="HD125" s="189"/>
      <c r="HE125" s="189"/>
      <c r="HF125" s="189"/>
      <c r="HG125" s="106">
        <f>HH125</f>
        <v>0</v>
      </c>
      <c r="HH125" s="106">
        <f>HH126</f>
        <v>0</v>
      </c>
      <c r="HI125" s="106"/>
      <c r="HJ125" s="189"/>
      <c r="HK125" s="106">
        <f>HL125</f>
        <v>0</v>
      </c>
      <c r="HL125" s="106">
        <f>HL126</f>
        <v>0</v>
      </c>
      <c r="HM125" s="106"/>
      <c r="HN125" s="189"/>
      <c r="HO125" s="106">
        <f t="shared" si="302"/>
        <v>0</v>
      </c>
      <c r="HP125" s="106">
        <f>HP126</f>
        <v>0</v>
      </c>
      <c r="HQ125" s="106"/>
      <c r="HR125" s="189"/>
      <c r="HS125" s="106">
        <f t="shared" si="303"/>
        <v>0</v>
      </c>
      <c r="HT125" s="106">
        <f>HT126</f>
        <v>0</v>
      </c>
      <c r="HU125" s="106"/>
      <c r="HV125" s="189"/>
      <c r="HW125" s="106">
        <f>HX125</f>
        <v>0</v>
      </c>
      <c r="HX125" s="106">
        <f>HX126</f>
        <v>0</v>
      </c>
      <c r="HY125" s="106"/>
      <c r="HZ125" s="189"/>
      <c r="IA125" s="106">
        <f t="shared" si="304"/>
        <v>0</v>
      </c>
      <c r="IB125" s="106">
        <f>IB126</f>
        <v>0</v>
      </c>
      <c r="IC125" s="106"/>
      <c r="ID125" s="189"/>
      <c r="IE125" s="169"/>
      <c r="IF125" s="193"/>
      <c r="IG125" s="193"/>
      <c r="IH125" s="193"/>
    </row>
    <row r="126" spans="2:249" s="212" customFormat="1" ht="22.5" hidden="1" customHeight="1" x14ac:dyDescent="0.25">
      <c r="B126" s="178"/>
      <c r="C126" s="215"/>
      <c r="D126" s="187"/>
      <c r="E126" s="188"/>
      <c r="F126" s="188"/>
      <c r="G126" s="188"/>
      <c r="H126" s="188"/>
      <c r="I126" s="188"/>
      <c r="J126" s="188"/>
      <c r="K126" s="188"/>
      <c r="L126" s="188"/>
      <c r="M126" s="188"/>
      <c r="N126" s="188"/>
      <c r="O126" s="188"/>
      <c r="P126" s="188"/>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2"/>
      <c r="AL126" s="182"/>
      <c r="AM126" s="189"/>
      <c r="AN126" s="189"/>
      <c r="AO126" s="109"/>
      <c r="AP126" s="189"/>
      <c r="AQ126" s="189"/>
      <c r="AR126" s="189"/>
      <c r="AS126" s="189"/>
      <c r="AT126" s="189"/>
      <c r="AU126" s="189"/>
      <c r="AV126" s="189"/>
      <c r="AW126" s="189"/>
      <c r="AX126" s="189"/>
      <c r="AY126" s="189"/>
      <c r="AZ126" s="189"/>
      <c r="BA126" s="189"/>
      <c r="BB126" s="189"/>
      <c r="BC126" s="189"/>
      <c r="BD126" s="189"/>
      <c r="BE126" s="189"/>
      <c r="BF126" s="189"/>
      <c r="BG126" s="189"/>
      <c r="BH126" s="189"/>
      <c r="BI126" s="189"/>
      <c r="BJ126" s="189"/>
      <c r="BK126" s="110"/>
      <c r="BL126" s="106"/>
      <c r="BM126" s="106"/>
      <c r="BN126" s="106"/>
      <c r="BO126" s="106"/>
      <c r="BP126" s="106"/>
      <c r="BQ126" s="106"/>
      <c r="BR126" s="106"/>
      <c r="BS126" s="106"/>
      <c r="BT126" s="106"/>
      <c r="BU126" s="106"/>
      <c r="BV126" s="189"/>
      <c r="BW126" s="189"/>
      <c r="BX126" s="189"/>
      <c r="BY126" s="189"/>
      <c r="BZ126" s="189"/>
      <c r="CA126" s="189"/>
      <c r="CB126" s="189"/>
      <c r="CC126" s="189"/>
      <c r="CD126" s="189"/>
      <c r="CE126" s="106"/>
      <c r="CF126" s="106"/>
      <c r="CG126" s="189"/>
      <c r="CH126" s="189"/>
      <c r="CI126" s="189"/>
      <c r="CJ126" s="189"/>
      <c r="CK126" s="189"/>
      <c r="CL126" s="189"/>
      <c r="CM126" s="189"/>
      <c r="CN126" s="189"/>
      <c r="CO126" s="189"/>
      <c r="CP126" s="189"/>
      <c r="CQ126" s="189"/>
      <c r="CR126" s="189"/>
      <c r="CS126" s="189"/>
      <c r="CT126" s="189"/>
      <c r="CU126" s="189"/>
      <c r="CV126" s="189"/>
      <c r="CW126" s="189">
        <f t="shared" si="280"/>
        <v>0</v>
      </c>
      <c r="CX126" s="189">
        <v>0</v>
      </c>
      <c r="CY126" s="189"/>
      <c r="CZ126" s="189"/>
      <c r="DA126" s="189"/>
      <c r="DB126" s="189"/>
      <c r="DC126" s="189"/>
      <c r="DD126" s="189"/>
      <c r="DE126" s="189"/>
      <c r="DF126" s="192">
        <f t="shared" si="282"/>
        <v>0</v>
      </c>
      <c r="DG126" s="192">
        <v>0</v>
      </c>
      <c r="DH126" s="192"/>
      <c r="DI126" s="192">
        <f t="shared" si="283"/>
        <v>0</v>
      </c>
      <c r="DJ126" s="192">
        <v>0</v>
      </c>
      <c r="DK126" s="189"/>
      <c r="DL126" s="192">
        <f t="shared" si="284"/>
        <v>0</v>
      </c>
      <c r="DM126" s="192">
        <v>0</v>
      </c>
      <c r="DN126" s="189"/>
      <c r="DO126" s="192">
        <f t="shared" si="285"/>
        <v>0</v>
      </c>
      <c r="DP126" s="192">
        <v>0</v>
      </c>
      <c r="DQ126" s="189"/>
      <c r="DR126" s="192">
        <f t="shared" si="286"/>
        <v>0</v>
      </c>
      <c r="DS126" s="192">
        <v>0</v>
      </c>
      <c r="DT126" s="189"/>
      <c r="DU126" s="181">
        <f>DV126</f>
        <v>0</v>
      </c>
      <c r="DV126" s="192"/>
      <c r="DW126" s="189"/>
      <c r="DX126" s="189"/>
      <c r="DY126" s="189"/>
      <c r="DZ126" s="189"/>
      <c r="EA126" s="189"/>
      <c r="EB126" s="189"/>
      <c r="EC126" s="189"/>
      <c r="ED126" s="189"/>
      <c r="EE126" s="189"/>
      <c r="EF126" s="189"/>
      <c r="EG126" s="192">
        <f t="shared" si="298"/>
        <v>0</v>
      </c>
      <c r="EH126" s="192">
        <f>DX126</f>
        <v>0</v>
      </c>
      <c r="EI126" s="192"/>
      <c r="EJ126" s="189"/>
      <c r="EK126" s="189"/>
      <c r="EL126" s="189"/>
      <c r="EM126" s="189"/>
      <c r="EN126" s="189"/>
      <c r="EO126" s="189"/>
      <c r="EP126" s="189"/>
      <c r="EQ126" s="189"/>
      <c r="ER126" s="189"/>
      <c r="ES126" s="164">
        <f>ET126+EV126</f>
        <v>0</v>
      </c>
      <c r="ET126" s="192">
        <f>ED126</f>
        <v>0</v>
      </c>
      <c r="EU126" s="189"/>
      <c r="EV126" s="189"/>
      <c r="EW126" s="189"/>
      <c r="EX126" s="189"/>
      <c r="EY126" s="189"/>
      <c r="EZ126" s="189"/>
      <c r="FA126" s="189"/>
      <c r="FB126" s="189"/>
      <c r="FC126" s="201">
        <f t="shared" si="299"/>
        <v>0</v>
      </c>
      <c r="FD126" s="201">
        <f>EX126</f>
        <v>0</v>
      </c>
      <c r="FE126" s="201"/>
      <c r="FF126" s="188"/>
      <c r="FG126" s="188"/>
      <c r="FH126" s="188"/>
      <c r="FI126" s="188"/>
      <c r="FJ126" s="188"/>
      <c r="FK126" s="188"/>
      <c r="FL126" s="188"/>
      <c r="FM126" s="188"/>
      <c r="FN126" s="188"/>
      <c r="FO126" s="201">
        <f t="shared" si="300"/>
        <v>0</v>
      </c>
      <c r="FP126" s="201">
        <f>FF126</f>
        <v>0</v>
      </c>
      <c r="FQ126" s="201"/>
      <c r="FR126" s="188"/>
      <c r="FS126" s="39">
        <f t="shared" si="195"/>
        <v>0</v>
      </c>
      <c r="FT126" s="485" t="e">
        <f t="shared" si="241"/>
        <v>#DIV/0!</v>
      </c>
      <c r="FU126" s="39">
        <v>0</v>
      </c>
      <c r="FV126" s="485" t="e">
        <f t="shared" si="242"/>
        <v>#DIV/0!</v>
      </c>
      <c r="FW126" s="38"/>
      <c r="FX126" s="660"/>
      <c r="FY126" s="39"/>
      <c r="FZ126" s="660"/>
      <c r="GA126" s="39">
        <f t="shared" si="247"/>
        <v>0</v>
      </c>
      <c r="GB126" s="485" t="e">
        <f t="shared" si="248"/>
        <v>#DIV/0!</v>
      </c>
      <c r="GC126" s="39">
        <v>0</v>
      </c>
      <c r="GD126" s="485" t="e">
        <f t="shared" si="249"/>
        <v>#DIV/0!</v>
      </c>
      <c r="GE126" s="82"/>
      <c r="GF126" s="498"/>
      <c r="GG126" s="82"/>
      <c r="GH126" s="498"/>
      <c r="GI126" s="90">
        <f t="shared" si="243"/>
        <v>68317.612040000007</v>
      </c>
      <c r="GJ126" s="485" t="e">
        <f t="shared" si="244"/>
        <v>#DIV/0!</v>
      </c>
      <c r="GK126" s="90">
        <f>GK374+GK424</f>
        <v>0</v>
      </c>
      <c r="GL126" s="485" t="e">
        <f t="shared" si="245"/>
        <v>#DIV/0!</v>
      </c>
      <c r="GM126" s="90">
        <f>GM374+GM424</f>
        <v>0</v>
      </c>
      <c r="GN126" s="485" t="e">
        <f>GM126/FE126</f>
        <v>#DIV/0!</v>
      </c>
      <c r="GO126" s="90">
        <f>GO374+GO424</f>
        <v>68317.612040000007</v>
      </c>
      <c r="GP126" s="485" t="e">
        <f t="shared" si="294"/>
        <v>#DIV/0!</v>
      </c>
      <c r="GQ126" s="189"/>
      <c r="GR126" s="189"/>
      <c r="GS126" s="189"/>
      <c r="GT126" s="189"/>
      <c r="GU126" s="192">
        <f t="shared" si="301"/>
        <v>0</v>
      </c>
      <c r="GV126" s="192">
        <f>FJ126</f>
        <v>0</v>
      </c>
      <c r="GW126" s="192"/>
      <c r="GX126" s="189"/>
      <c r="GY126" s="189"/>
      <c r="GZ126" s="189"/>
      <c r="HA126" s="189"/>
      <c r="HB126" s="189"/>
      <c r="HC126" s="189"/>
      <c r="HD126" s="189"/>
      <c r="HE126" s="189"/>
      <c r="HF126" s="189"/>
      <c r="HG126" s="192">
        <f>HH126</f>
        <v>0</v>
      </c>
      <c r="HH126" s="192">
        <f>HB126</f>
        <v>0</v>
      </c>
      <c r="HI126" s="192"/>
      <c r="HJ126" s="189"/>
      <c r="HK126" s="192">
        <f>HL126</f>
        <v>0</v>
      </c>
      <c r="HL126" s="192">
        <f>HF126</f>
        <v>0</v>
      </c>
      <c r="HM126" s="192"/>
      <c r="HN126" s="189"/>
      <c r="HO126" s="192">
        <f t="shared" si="302"/>
        <v>0</v>
      </c>
      <c r="HP126" s="192">
        <f>HF126</f>
        <v>0</v>
      </c>
      <c r="HQ126" s="192"/>
      <c r="HR126" s="189"/>
      <c r="HS126" s="192">
        <f t="shared" si="303"/>
        <v>0</v>
      </c>
      <c r="HT126" s="192">
        <f>HJ126</f>
        <v>0</v>
      </c>
      <c r="HU126" s="192"/>
      <c r="HV126" s="189"/>
      <c r="HW126" s="192">
        <f>HX126</f>
        <v>0</v>
      </c>
      <c r="HX126" s="192">
        <f>HR126</f>
        <v>0</v>
      </c>
      <c r="HY126" s="192"/>
      <c r="HZ126" s="189"/>
      <c r="IA126" s="192">
        <f t="shared" si="304"/>
        <v>0</v>
      </c>
      <c r="IB126" s="192">
        <f>HR126</f>
        <v>0</v>
      </c>
      <c r="IC126" s="192"/>
      <c r="ID126" s="189"/>
      <c r="IE126" s="169"/>
      <c r="IF126" s="193"/>
      <c r="IG126" s="193"/>
      <c r="IH126" s="193"/>
    </row>
    <row r="127" spans="2:249" s="171" customFormat="1" ht="22.5" hidden="1" customHeight="1" x14ac:dyDescent="0.25">
      <c r="B127" s="160"/>
      <c r="C127" s="161" t="s">
        <v>148</v>
      </c>
      <c r="D127" s="162"/>
      <c r="E127" s="163"/>
      <c r="F127" s="163"/>
      <c r="G127" s="163"/>
      <c r="H127" s="163"/>
      <c r="I127" s="163"/>
      <c r="J127" s="163"/>
      <c r="K127" s="163"/>
      <c r="L127" s="163"/>
      <c r="M127" s="163"/>
      <c r="N127" s="163"/>
      <c r="O127" s="163"/>
      <c r="P127" s="163"/>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5"/>
      <c r="AL127" s="165"/>
      <c r="AM127" s="164"/>
      <c r="AN127" s="164"/>
      <c r="AO127" s="166"/>
      <c r="AP127" s="164"/>
      <c r="AQ127" s="164"/>
      <c r="AR127" s="164"/>
      <c r="AS127" s="164"/>
      <c r="AT127" s="164"/>
      <c r="AU127" s="164"/>
      <c r="AV127" s="164"/>
      <c r="AW127" s="164"/>
      <c r="AX127" s="164"/>
      <c r="AY127" s="164"/>
      <c r="AZ127" s="164"/>
      <c r="BA127" s="164"/>
      <c r="BB127" s="164"/>
      <c r="BC127" s="164"/>
      <c r="BD127" s="164"/>
      <c r="BE127" s="164"/>
      <c r="BF127" s="164"/>
      <c r="BG127" s="164"/>
      <c r="BH127" s="164"/>
      <c r="BI127" s="164"/>
      <c r="BJ127" s="164"/>
      <c r="BK127" s="167"/>
      <c r="BL127" s="168"/>
      <c r="BM127" s="168"/>
      <c r="BN127" s="168"/>
      <c r="BO127" s="168"/>
      <c r="BP127" s="168"/>
      <c r="BQ127" s="168"/>
      <c r="BR127" s="168"/>
      <c r="BS127" s="168"/>
      <c r="BT127" s="168"/>
      <c r="BU127" s="168"/>
      <c r="BV127" s="164"/>
      <c r="BW127" s="164"/>
      <c r="BX127" s="164"/>
      <c r="BY127" s="164"/>
      <c r="BZ127" s="164"/>
      <c r="CA127" s="164"/>
      <c r="CB127" s="164"/>
      <c r="CC127" s="164"/>
      <c r="CD127" s="164"/>
      <c r="CE127" s="168"/>
      <c r="CF127" s="168"/>
      <c r="CG127" s="164"/>
      <c r="CH127" s="164"/>
      <c r="CI127" s="164"/>
      <c r="CJ127" s="164"/>
      <c r="CK127" s="164"/>
      <c r="CL127" s="164"/>
      <c r="CM127" s="164"/>
      <c r="CN127" s="164"/>
      <c r="CO127" s="164"/>
      <c r="CP127" s="164"/>
      <c r="CQ127" s="164"/>
      <c r="CR127" s="164"/>
      <c r="CS127" s="164"/>
      <c r="CT127" s="164"/>
      <c r="CU127" s="164"/>
      <c r="CV127" s="164"/>
      <c r="CW127" s="164">
        <f t="shared" si="280"/>
        <v>498.14551</v>
      </c>
      <c r="CX127" s="164">
        <v>498.14551</v>
      </c>
      <c r="CY127" s="164"/>
      <c r="CZ127" s="164"/>
      <c r="DA127" s="164"/>
      <c r="DB127" s="164"/>
      <c r="DC127" s="164"/>
      <c r="DD127" s="164"/>
      <c r="DE127" s="164"/>
      <c r="DF127" s="164">
        <f t="shared" si="282"/>
        <v>0</v>
      </c>
      <c r="DG127" s="164">
        <f>DJ127-CX127</f>
        <v>0</v>
      </c>
      <c r="DH127" s="164"/>
      <c r="DI127" s="164">
        <f t="shared" si="283"/>
        <v>498.14551</v>
      </c>
      <c r="DJ127" s="164">
        <f>498.14551</f>
        <v>498.14551</v>
      </c>
      <c r="DK127" s="164"/>
      <c r="DL127" s="164">
        <f t="shared" si="284"/>
        <v>498.14551</v>
      </c>
      <c r="DM127" s="164">
        <f>498.14551</f>
        <v>498.14551</v>
      </c>
      <c r="DN127" s="164"/>
      <c r="DO127" s="164">
        <f t="shared" si="285"/>
        <v>0</v>
      </c>
      <c r="DP127" s="164">
        <v>0</v>
      </c>
      <c r="DQ127" s="164"/>
      <c r="DR127" s="164">
        <f t="shared" si="286"/>
        <v>0</v>
      </c>
      <c r="DS127" s="164">
        <f>DJ127-DM127-DP127</f>
        <v>0</v>
      </c>
      <c r="DT127" s="164"/>
      <c r="DU127" s="164">
        <f>DV127</f>
        <v>0</v>
      </c>
      <c r="DV127" s="164">
        <v>0</v>
      </c>
      <c r="DW127" s="164"/>
      <c r="DX127" s="164"/>
      <c r="DY127" s="164"/>
      <c r="DZ127" s="164"/>
      <c r="EA127" s="164"/>
      <c r="EB127" s="164"/>
      <c r="EC127" s="164"/>
      <c r="ED127" s="164"/>
      <c r="EE127" s="164"/>
      <c r="EF127" s="164"/>
      <c r="EG127" s="164"/>
      <c r="EH127" s="164"/>
      <c r="EI127" s="164"/>
      <c r="EJ127" s="164"/>
      <c r="EK127" s="164"/>
      <c r="EL127" s="164"/>
      <c r="EM127" s="164"/>
      <c r="EN127" s="164"/>
      <c r="EO127" s="164"/>
      <c r="EP127" s="164"/>
      <c r="EQ127" s="164"/>
      <c r="ER127" s="164"/>
      <c r="ES127" s="164"/>
      <c r="ET127" s="164"/>
      <c r="EU127" s="164"/>
      <c r="EV127" s="164"/>
      <c r="EW127" s="164">
        <f>EX127</f>
        <v>0</v>
      </c>
      <c r="EX127" s="164">
        <v>0</v>
      </c>
      <c r="EY127" s="164"/>
      <c r="EZ127" s="164"/>
      <c r="FA127" s="164"/>
      <c r="FB127" s="164"/>
      <c r="FC127" s="163"/>
      <c r="FD127" s="163"/>
      <c r="FE127" s="163"/>
      <c r="FF127" s="163"/>
      <c r="FG127" s="163"/>
      <c r="FH127" s="163"/>
      <c r="FI127" s="163"/>
      <c r="FJ127" s="163"/>
      <c r="FK127" s="163"/>
      <c r="FL127" s="163"/>
      <c r="FM127" s="163"/>
      <c r="FN127" s="163"/>
      <c r="FO127" s="163"/>
      <c r="FP127" s="163"/>
      <c r="FQ127" s="163"/>
      <c r="FR127" s="163"/>
      <c r="FS127" s="39">
        <f t="shared" si="195"/>
        <v>0</v>
      </c>
      <c r="FT127" s="485" t="e">
        <f t="shared" si="241"/>
        <v>#DIV/0!</v>
      </c>
      <c r="FU127" s="39">
        <v>0</v>
      </c>
      <c r="FV127" s="485" t="e">
        <f t="shared" si="242"/>
        <v>#DIV/0!</v>
      </c>
      <c r="FW127" s="38"/>
      <c r="FX127" s="660"/>
      <c r="FY127" s="39"/>
      <c r="FZ127" s="660"/>
      <c r="GA127" s="39">
        <f t="shared" si="247"/>
        <v>0</v>
      </c>
      <c r="GB127" s="485" t="e">
        <f t="shared" si="248"/>
        <v>#DIV/0!</v>
      </c>
      <c r="GC127" s="39">
        <v>0</v>
      </c>
      <c r="GD127" s="485" t="e">
        <f t="shared" si="249"/>
        <v>#DIV/0!</v>
      </c>
      <c r="GE127" s="82"/>
      <c r="GF127" s="498"/>
      <c r="GG127" s="82"/>
      <c r="GH127" s="498"/>
      <c r="GI127" s="90">
        <f t="shared" si="243"/>
        <v>45772.800000000003</v>
      </c>
      <c r="GJ127" s="485" t="e">
        <f t="shared" si="244"/>
        <v>#DIV/0!</v>
      </c>
      <c r="GK127" s="90">
        <f>GK375+GK425</f>
        <v>0</v>
      </c>
      <c r="GL127" s="485" t="e">
        <f t="shared" si="245"/>
        <v>#DIV/0!</v>
      </c>
      <c r="GM127" s="90">
        <f>GM375+GM425</f>
        <v>0</v>
      </c>
      <c r="GN127" s="485" t="e">
        <f>GM127/FE127</f>
        <v>#DIV/0!</v>
      </c>
      <c r="GO127" s="90">
        <f>GO375+GO425</f>
        <v>45772.800000000003</v>
      </c>
      <c r="GP127" s="485" t="e">
        <f t="shared" si="294"/>
        <v>#DIV/0!</v>
      </c>
      <c r="GQ127" s="164"/>
      <c r="GR127" s="164"/>
      <c r="GS127" s="164"/>
      <c r="GT127" s="164"/>
      <c r="GU127" s="164"/>
      <c r="GV127" s="164"/>
      <c r="GW127" s="164"/>
      <c r="GX127" s="164"/>
      <c r="GY127" s="164"/>
      <c r="GZ127" s="164"/>
      <c r="HA127" s="164"/>
      <c r="HB127" s="164"/>
      <c r="HC127" s="164"/>
      <c r="HD127" s="164"/>
      <c r="HE127" s="164"/>
      <c r="HF127" s="164"/>
      <c r="HG127" s="164"/>
      <c r="HH127" s="164"/>
      <c r="HI127" s="164"/>
      <c r="HJ127" s="164"/>
      <c r="HK127" s="164"/>
      <c r="HL127" s="164"/>
      <c r="HM127" s="164"/>
      <c r="HN127" s="164"/>
      <c r="HO127" s="164"/>
      <c r="HP127" s="164"/>
      <c r="HQ127" s="164"/>
      <c r="HR127" s="164"/>
      <c r="HS127" s="164"/>
      <c r="HT127" s="164"/>
      <c r="HU127" s="164"/>
      <c r="HV127" s="164"/>
      <c r="HW127" s="164"/>
      <c r="HX127" s="164"/>
      <c r="HY127" s="164"/>
      <c r="HZ127" s="164"/>
      <c r="IA127" s="164"/>
      <c r="IB127" s="164"/>
      <c r="IC127" s="164"/>
      <c r="ID127" s="164"/>
      <c r="IE127" s="169"/>
      <c r="IF127" s="170"/>
      <c r="IG127" s="170"/>
      <c r="IH127" s="170"/>
    </row>
    <row r="128" spans="2:249" s="679" customFormat="1" ht="56.25" hidden="1" customHeight="1" x14ac:dyDescent="0.25">
      <c r="B128" s="680"/>
      <c r="C128" s="740" t="s">
        <v>477</v>
      </c>
      <c r="D128" s="741"/>
      <c r="E128" s="681"/>
      <c r="F128" s="681"/>
      <c r="G128" s="681"/>
      <c r="H128" s="681"/>
      <c r="I128" s="681"/>
      <c r="J128" s="681"/>
      <c r="K128" s="681"/>
      <c r="L128" s="681"/>
      <c r="M128" s="681"/>
      <c r="N128" s="681"/>
      <c r="O128" s="681"/>
      <c r="P128" s="681"/>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683"/>
      <c r="AM128" s="682"/>
      <c r="AN128" s="682"/>
      <c r="AO128" s="684"/>
      <c r="AP128" s="682"/>
      <c r="AQ128" s="682"/>
      <c r="AR128" s="682"/>
      <c r="AS128" s="682"/>
      <c r="AT128" s="682"/>
      <c r="AU128" s="682"/>
      <c r="AV128" s="682"/>
      <c r="AW128" s="682"/>
      <c r="AX128" s="682"/>
      <c r="AY128" s="682"/>
      <c r="AZ128" s="682"/>
      <c r="BA128" s="682"/>
      <c r="BB128" s="682"/>
      <c r="BC128" s="682"/>
      <c r="BD128" s="682"/>
      <c r="BE128" s="682"/>
      <c r="BF128" s="682"/>
      <c r="BG128" s="682"/>
      <c r="BH128" s="682"/>
      <c r="BI128" s="682"/>
      <c r="BJ128" s="682"/>
      <c r="BK128" s="685"/>
      <c r="BL128" s="686"/>
      <c r="BM128" s="686"/>
      <c r="BN128" s="686"/>
      <c r="BO128" s="686"/>
      <c r="BP128" s="686"/>
      <c r="BQ128" s="686"/>
      <c r="BR128" s="686"/>
      <c r="BS128" s="686"/>
      <c r="BT128" s="686"/>
      <c r="BU128" s="686"/>
      <c r="BV128" s="682"/>
      <c r="BW128" s="682"/>
      <c r="BX128" s="682"/>
      <c r="BY128" s="682"/>
      <c r="BZ128" s="682"/>
      <c r="CA128" s="682"/>
      <c r="CB128" s="682"/>
      <c r="CC128" s="682"/>
      <c r="CD128" s="682"/>
      <c r="CE128" s="686"/>
      <c r="CF128" s="686"/>
      <c r="CG128" s="682"/>
      <c r="CH128" s="682"/>
      <c r="CI128" s="682"/>
      <c r="CJ128" s="682"/>
      <c r="CK128" s="682"/>
      <c r="CL128" s="682"/>
      <c r="CM128" s="682"/>
      <c r="CN128" s="682"/>
      <c r="CO128" s="682"/>
      <c r="CP128" s="682"/>
      <c r="CQ128" s="682"/>
      <c r="CR128" s="682"/>
      <c r="CS128" s="682"/>
      <c r="CT128" s="682"/>
      <c r="CU128" s="682"/>
      <c r="CV128" s="682"/>
      <c r="CW128" s="682"/>
      <c r="CX128" s="682"/>
      <c r="CY128" s="682"/>
      <c r="CZ128" s="682"/>
      <c r="DA128" s="682"/>
      <c r="DB128" s="682"/>
      <c r="DC128" s="682"/>
      <c r="DD128" s="682"/>
      <c r="DE128" s="682"/>
      <c r="DF128" s="682"/>
      <c r="DG128" s="682"/>
      <c r="DH128" s="682"/>
      <c r="DI128" s="682"/>
      <c r="DJ128" s="682"/>
      <c r="DK128" s="682"/>
      <c r="DL128" s="682"/>
      <c r="DM128" s="682"/>
      <c r="DN128" s="682"/>
      <c r="DO128" s="682"/>
      <c r="DP128" s="682"/>
      <c r="DQ128" s="682"/>
      <c r="DR128" s="682"/>
      <c r="DS128" s="682"/>
      <c r="DT128" s="682"/>
      <c r="DU128" s="682"/>
      <c r="DV128" s="682"/>
      <c r="DW128" s="682"/>
      <c r="DX128" s="682"/>
      <c r="DY128" s="682"/>
      <c r="DZ128" s="682"/>
      <c r="EA128" s="682"/>
      <c r="EB128" s="682"/>
      <c r="EC128" s="682"/>
      <c r="ED128" s="682"/>
      <c r="EE128" s="682"/>
      <c r="EF128" s="682"/>
      <c r="EG128" s="682"/>
      <c r="EH128" s="682"/>
      <c r="EI128" s="682"/>
      <c r="EJ128" s="682"/>
      <c r="EK128" s="682"/>
      <c r="EL128" s="682"/>
      <c r="EM128" s="682"/>
      <c r="EN128" s="682"/>
      <c r="EO128" s="682"/>
      <c r="EP128" s="682"/>
      <c r="EQ128" s="682"/>
      <c r="ER128" s="682"/>
      <c r="ES128" s="682"/>
      <c r="ET128" s="682"/>
      <c r="EU128" s="682"/>
      <c r="EV128" s="682"/>
      <c r="EW128" s="682"/>
      <c r="EX128" s="682"/>
      <c r="EY128" s="682"/>
      <c r="EZ128" s="682"/>
      <c r="FA128" s="682"/>
      <c r="FB128" s="682"/>
      <c r="FC128" s="681"/>
      <c r="FD128" s="681"/>
      <c r="FE128" s="681"/>
      <c r="FF128" s="681"/>
      <c r="FG128" s="681"/>
      <c r="FH128" s="681"/>
      <c r="FI128" s="681"/>
      <c r="FJ128" s="681"/>
      <c r="FK128" s="681"/>
      <c r="FL128" s="681"/>
      <c r="FM128" s="681"/>
      <c r="FN128" s="681"/>
      <c r="FO128" s="681"/>
      <c r="FP128" s="681"/>
      <c r="FQ128" s="681"/>
      <c r="FR128" s="681"/>
      <c r="FS128" s="530">
        <f t="shared" si="195"/>
        <v>11260.209870000001</v>
      </c>
      <c r="FT128" s="531">
        <v>0</v>
      </c>
      <c r="FU128" s="530">
        <v>11260.209870000001</v>
      </c>
      <c r="FV128" s="531">
        <v>0</v>
      </c>
      <c r="FW128" s="529"/>
      <c r="FX128" s="663"/>
      <c r="FY128" s="530"/>
      <c r="FZ128" s="663"/>
      <c r="GA128" s="530"/>
      <c r="GB128" s="531"/>
      <c r="GC128" s="530"/>
      <c r="GD128" s="531"/>
      <c r="GE128" s="529"/>
      <c r="GF128" s="532"/>
      <c r="GG128" s="529"/>
      <c r="GH128" s="532"/>
      <c r="GI128" s="630"/>
      <c r="GJ128" s="531"/>
      <c r="GK128" s="630"/>
      <c r="GL128" s="531"/>
      <c r="GM128" s="630"/>
      <c r="GN128" s="531"/>
      <c r="GO128" s="630"/>
      <c r="GP128" s="531"/>
      <c r="GQ128" s="682"/>
      <c r="GR128" s="682"/>
      <c r="GS128" s="682"/>
      <c r="GT128" s="682"/>
      <c r="GU128" s="682"/>
      <c r="GV128" s="682"/>
      <c r="GW128" s="682"/>
      <c r="GX128" s="682"/>
      <c r="GY128" s="682"/>
      <c r="GZ128" s="682"/>
      <c r="HA128" s="682"/>
      <c r="HB128" s="682"/>
      <c r="HC128" s="682"/>
      <c r="HD128" s="682"/>
      <c r="HE128" s="682"/>
      <c r="HF128" s="682"/>
      <c r="HG128" s="682"/>
      <c r="HH128" s="682"/>
      <c r="HI128" s="682"/>
      <c r="HJ128" s="682"/>
      <c r="HK128" s="682"/>
      <c r="HL128" s="682"/>
      <c r="HM128" s="682"/>
      <c r="HN128" s="682"/>
      <c r="HO128" s="682"/>
      <c r="HP128" s="682"/>
      <c r="HQ128" s="682"/>
      <c r="HR128" s="682"/>
      <c r="HS128" s="682"/>
      <c r="HT128" s="682"/>
      <c r="HU128" s="682"/>
      <c r="HV128" s="682"/>
      <c r="HW128" s="682"/>
      <c r="HX128" s="682"/>
      <c r="HY128" s="682"/>
      <c r="HZ128" s="682"/>
      <c r="IA128" s="682"/>
      <c r="IB128" s="682"/>
      <c r="IC128" s="682"/>
      <c r="ID128" s="682"/>
      <c r="IE128" s="545"/>
      <c r="IF128" s="687"/>
      <c r="IG128" s="687"/>
      <c r="IH128" s="687"/>
    </row>
    <row r="129" spans="2:242" s="184" customFormat="1" ht="130.5" customHeight="1" x14ac:dyDescent="0.25">
      <c r="B129" s="178" t="s">
        <v>198</v>
      </c>
      <c r="C129" s="206" t="s">
        <v>214</v>
      </c>
      <c r="D129" s="179"/>
      <c r="E129" s="180"/>
      <c r="F129" s="180"/>
      <c r="G129" s="180"/>
      <c r="H129" s="180"/>
      <c r="I129" s="180"/>
      <c r="J129" s="180"/>
      <c r="K129" s="180"/>
      <c r="L129" s="180"/>
      <c r="M129" s="180"/>
      <c r="N129" s="180"/>
      <c r="O129" s="180"/>
      <c r="P129" s="180"/>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2"/>
      <c r="AL129" s="182"/>
      <c r="AM129" s="181"/>
      <c r="AN129" s="181"/>
      <c r="AO129" s="109"/>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10"/>
      <c r="BL129" s="106"/>
      <c r="BM129" s="106"/>
      <c r="BN129" s="106"/>
      <c r="BO129" s="106"/>
      <c r="BP129" s="106"/>
      <c r="BQ129" s="106"/>
      <c r="BR129" s="106"/>
      <c r="BS129" s="106"/>
      <c r="BT129" s="106"/>
      <c r="BU129" s="106"/>
      <c r="BV129" s="181"/>
      <c r="BW129" s="181"/>
      <c r="BX129" s="181"/>
      <c r="BY129" s="181"/>
      <c r="BZ129" s="181"/>
      <c r="CA129" s="181"/>
      <c r="CB129" s="181"/>
      <c r="CC129" s="181"/>
      <c r="CD129" s="181"/>
      <c r="CE129" s="106"/>
      <c r="CF129" s="106"/>
      <c r="CG129" s="181"/>
      <c r="CH129" s="181"/>
      <c r="CI129" s="181"/>
      <c r="CJ129" s="181"/>
      <c r="CK129" s="181"/>
      <c r="CL129" s="181"/>
      <c r="CM129" s="181"/>
      <c r="CN129" s="181"/>
      <c r="CO129" s="181"/>
      <c r="CP129" s="181"/>
      <c r="CQ129" s="181"/>
      <c r="CR129" s="181"/>
      <c r="CS129" s="181"/>
      <c r="CT129" s="181"/>
      <c r="CU129" s="181"/>
      <c r="CV129" s="181"/>
      <c r="CW129" s="181">
        <f>CX129</f>
        <v>30000</v>
      </c>
      <c r="CX129" s="181">
        <f>CX130</f>
        <v>30000</v>
      </c>
      <c r="CY129" s="181"/>
      <c r="CZ129" s="181"/>
      <c r="DA129" s="181"/>
      <c r="DB129" s="181"/>
      <c r="DC129" s="181"/>
      <c r="DD129" s="181"/>
      <c r="DE129" s="181"/>
      <c r="DF129" s="181">
        <f t="shared" si="282"/>
        <v>0</v>
      </c>
      <c r="DG129" s="182">
        <f>SUM(DG130:DG134)</f>
        <v>0</v>
      </c>
      <c r="DH129" s="182"/>
      <c r="DI129" s="181">
        <f t="shared" si="283"/>
        <v>30000</v>
      </c>
      <c r="DJ129" s="182">
        <f>SUM(DJ130:DJ134)</f>
        <v>30000</v>
      </c>
      <c r="DK129" s="181"/>
      <c r="DL129" s="181">
        <f t="shared" si="284"/>
        <v>0</v>
      </c>
      <c r="DM129" s="182">
        <f>SUM(DM130:DM134)</f>
        <v>0</v>
      </c>
      <c r="DN129" s="181"/>
      <c r="DO129" s="181">
        <f t="shared" si="285"/>
        <v>0</v>
      </c>
      <c r="DP129" s="182">
        <f>SUM(DP130:DP134)</f>
        <v>0</v>
      </c>
      <c r="DQ129" s="181"/>
      <c r="DR129" s="181">
        <f t="shared" si="286"/>
        <v>30000</v>
      </c>
      <c r="DS129" s="182">
        <f>SUM(DS130:DS134)</f>
        <v>30000</v>
      </c>
      <c r="DT129" s="181"/>
      <c r="DU129" s="181">
        <f>DV129</f>
        <v>10000</v>
      </c>
      <c r="DV129" s="182">
        <f>DV130</f>
        <v>10000</v>
      </c>
      <c r="DW129" s="181"/>
      <c r="DX129" s="181"/>
      <c r="DY129" s="181"/>
      <c r="DZ129" s="181"/>
      <c r="EA129" s="181"/>
      <c r="EB129" s="181"/>
      <c r="EC129" s="181"/>
      <c r="ED129" s="106">
        <f>EE129</f>
        <v>9083.0925400000015</v>
      </c>
      <c r="EE129" s="106">
        <f>EE130</f>
        <v>9083.0925400000015</v>
      </c>
      <c r="EF129" s="181"/>
      <c r="EG129" s="106">
        <f>EH129</f>
        <v>20000</v>
      </c>
      <c r="EH129" s="106">
        <f>SUM(EH130:EH131)</f>
        <v>20000</v>
      </c>
      <c r="EI129" s="106"/>
      <c r="EJ129" s="181"/>
      <c r="EK129" s="106">
        <f>EL129+EM129+EN129</f>
        <v>-19083.092540000001</v>
      </c>
      <c r="EL129" s="106">
        <f>EL130</f>
        <v>-19083.092540000001</v>
      </c>
      <c r="EM129" s="106">
        <f>EM130</f>
        <v>0</v>
      </c>
      <c r="EN129" s="106">
        <f>EN130</f>
        <v>0</v>
      </c>
      <c r="EO129" s="106">
        <f>EP129+EQ129+ER129</f>
        <v>0</v>
      </c>
      <c r="EP129" s="106">
        <f>EP130</f>
        <v>0</v>
      </c>
      <c r="EQ129" s="106">
        <f>EQ130</f>
        <v>0</v>
      </c>
      <c r="ER129" s="106">
        <f>ER130</f>
        <v>0</v>
      </c>
      <c r="ES129" s="106">
        <f>ET129+EV129</f>
        <v>0</v>
      </c>
      <c r="ET129" s="106">
        <f>SUM(ET130:ET131)</f>
        <v>0</v>
      </c>
      <c r="EU129" s="181"/>
      <c r="EV129" s="181"/>
      <c r="EW129" s="106">
        <f>EX129</f>
        <v>80000</v>
      </c>
      <c r="EX129" s="106">
        <f>EX130</f>
        <v>80000</v>
      </c>
      <c r="EY129" s="181"/>
      <c r="EZ129" s="106">
        <f>FA129</f>
        <v>-64694.616600000001</v>
      </c>
      <c r="FA129" s="106">
        <f>FA130</f>
        <v>-64694.616600000001</v>
      </c>
      <c r="FB129" s="181"/>
      <c r="FC129" s="104">
        <f>FD129</f>
        <v>16222.290860000001</v>
      </c>
      <c r="FD129" s="104">
        <f>SUM(FD130:FD131)</f>
        <v>16222.290860000001</v>
      </c>
      <c r="FE129" s="104"/>
      <c r="FF129" s="180"/>
      <c r="FG129" s="104">
        <f>FH129</f>
        <v>3777.7091400000008</v>
      </c>
      <c r="FH129" s="104">
        <f>FH130</f>
        <v>3777.7091400000008</v>
      </c>
      <c r="FI129" s="180"/>
      <c r="FJ129" s="180"/>
      <c r="FK129" s="104">
        <f>FL129+FM129+FN129</f>
        <v>0</v>
      </c>
      <c r="FL129" s="104">
        <f>FL130</f>
        <v>0</v>
      </c>
      <c r="FM129" s="104">
        <f>FM130</f>
        <v>0</v>
      </c>
      <c r="FN129" s="104">
        <f>FN130</f>
        <v>0</v>
      </c>
      <c r="FO129" s="104">
        <f>FP129</f>
        <v>20000</v>
      </c>
      <c r="FP129" s="104">
        <f>SUM(FP130:FP131)</f>
        <v>20000</v>
      </c>
      <c r="FQ129" s="104"/>
      <c r="FR129" s="180"/>
      <c r="FS129" s="629">
        <f t="shared" si="195"/>
        <v>9275.8428299999996</v>
      </c>
      <c r="FT129" s="595">
        <f t="shared" si="241"/>
        <v>0.5717961112922616</v>
      </c>
      <c r="FU129" s="104">
        <f>SUM(FU130:FU131)</f>
        <v>9275.8428299999996</v>
      </c>
      <c r="FV129" s="595">
        <f t="shared" si="242"/>
        <v>0.5717961112922616</v>
      </c>
      <c r="FW129" s="522"/>
      <c r="FX129" s="666"/>
      <c r="FY129" s="104"/>
      <c r="FZ129" s="666"/>
      <c r="GA129" s="104">
        <f t="shared" si="247"/>
        <v>9275.8428299999996</v>
      </c>
      <c r="GB129" s="595">
        <f t="shared" si="248"/>
        <v>0.5717961112922616</v>
      </c>
      <c r="GC129" s="104">
        <f>SUM(GC130:GC131)</f>
        <v>9275.8428299999996</v>
      </c>
      <c r="GD129" s="595">
        <f t="shared" si="249"/>
        <v>0.5717961112922616</v>
      </c>
      <c r="GE129" s="522"/>
      <c r="GF129" s="514"/>
      <c r="GG129" s="522"/>
      <c r="GH129" s="514"/>
      <c r="GI129" s="629">
        <f t="shared" si="243"/>
        <v>15527.429910000001</v>
      </c>
      <c r="GJ129" s="595">
        <f t="shared" si="244"/>
        <v>0.95716628705546458</v>
      </c>
      <c r="GK129" s="629">
        <f>SUM(GK130:GK131)</f>
        <v>15527.429910000001</v>
      </c>
      <c r="GL129" s="595">
        <f t="shared" si="245"/>
        <v>0.95716628705546458</v>
      </c>
      <c r="GM129" s="629"/>
      <c r="GN129" s="595"/>
      <c r="GO129" s="629"/>
      <c r="GP129" s="595"/>
      <c r="GQ129" s="181"/>
      <c r="GR129" s="181"/>
      <c r="GS129" s="181"/>
      <c r="GT129" s="181"/>
      <c r="GU129" s="106">
        <f>GV129</f>
        <v>0</v>
      </c>
      <c r="GV129" s="106">
        <f>GV130</f>
        <v>0</v>
      </c>
      <c r="GW129" s="106"/>
      <c r="GX129" s="181"/>
      <c r="GY129" s="181"/>
      <c r="GZ129" s="181"/>
      <c r="HA129" s="181"/>
      <c r="HB129" s="181"/>
      <c r="HC129" s="181"/>
      <c r="HD129" s="181"/>
      <c r="HE129" s="181"/>
      <c r="HF129" s="181"/>
      <c r="HG129" s="106">
        <f>HH129</f>
        <v>0</v>
      </c>
      <c r="HH129" s="106">
        <f>HH130</f>
        <v>0</v>
      </c>
      <c r="HI129" s="106"/>
      <c r="HJ129" s="181"/>
      <c r="HK129" s="106">
        <f>HL129</f>
        <v>0</v>
      </c>
      <c r="HL129" s="106">
        <f>HL130</f>
        <v>0</v>
      </c>
      <c r="HM129" s="106"/>
      <c r="HN129" s="181"/>
      <c r="HO129" s="106">
        <f>HP129</f>
        <v>0</v>
      </c>
      <c r="HP129" s="106">
        <f>HP130</f>
        <v>0</v>
      </c>
      <c r="HQ129" s="106"/>
      <c r="HR129" s="181"/>
      <c r="HS129" s="106">
        <f>HT129</f>
        <v>0</v>
      </c>
      <c r="HT129" s="106">
        <f>HT130</f>
        <v>0</v>
      </c>
      <c r="HU129" s="106"/>
      <c r="HV129" s="181"/>
      <c r="HW129" s="106">
        <f>HX129</f>
        <v>0</v>
      </c>
      <c r="HX129" s="106">
        <f>HX130</f>
        <v>0</v>
      </c>
      <c r="HY129" s="106"/>
      <c r="HZ129" s="181"/>
      <c r="IA129" s="106">
        <f>IB129</f>
        <v>0</v>
      </c>
      <c r="IB129" s="106">
        <f>IB130</f>
        <v>0</v>
      </c>
      <c r="IC129" s="106"/>
      <c r="ID129" s="181"/>
      <c r="IE129" s="196" t="s">
        <v>215</v>
      </c>
      <c r="IF129" s="183"/>
      <c r="IG129" s="183"/>
      <c r="IH129" s="183"/>
    </row>
    <row r="130" spans="2:242" s="171" customFormat="1" ht="22.5" hidden="1" customHeight="1" x14ac:dyDescent="0.25">
      <c r="B130" s="160"/>
      <c r="C130" s="161" t="s">
        <v>146</v>
      </c>
      <c r="D130" s="162"/>
      <c r="E130" s="163"/>
      <c r="F130" s="163"/>
      <c r="G130" s="163"/>
      <c r="H130" s="163"/>
      <c r="I130" s="163"/>
      <c r="J130" s="163"/>
      <c r="K130" s="163"/>
      <c r="L130" s="163"/>
      <c r="M130" s="163"/>
      <c r="N130" s="163"/>
      <c r="O130" s="163"/>
      <c r="P130" s="163"/>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5"/>
      <c r="AL130" s="165"/>
      <c r="AM130" s="164"/>
      <c r="AN130" s="164"/>
      <c r="AO130" s="166"/>
      <c r="AP130" s="164"/>
      <c r="AQ130" s="164"/>
      <c r="AR130" s="164"/>
      <c r="AS130" s="164"/>
      <c r="AT130" s="164"/>
      <c r="AU130" s="164"/>
      <c r="AV130" s="164"/>
      <c r="AW130" s="164"/>
      <c r="AX130" s="164"/>
      <c r="AY130" s="164"/>
      <c r="AZ130" s="164"/>
      <c r="BA130" s="164"/>
      <c r="BB130" s="164"/>
      <c r="BC130" s="164"/>
      <c r="BD130" s="164"/>
      <c r="BE130" s="164"/>
      <c r="BF130" s="164"/>
      <c r="BG130" s="164"/>
      <c r="BH130" s="164"/>
      <c r="BI130" s="164"/>
      <c r="BJ130" s="164"/>
      <c r="BK130" s="167"/>
      <c r="BL130" s="168"/>
      <c r="BM130" s="168"/>
      <c r="BN130" s="168"/>
      <c r="BO130" s="168"/>
      <c r="BP130" s="168"/>
      <c r="BQ130" s="168"/>
      <c r="BR130" s="168"/>
      <c r="BS130" s="168"/>
      <c r="BT130" s="168"/>
      <c r="BU130" s="168"/>
      <c r="BV130" s="164"/>
      <c r="BW130" s="164"/>
      <c r="BX130" s="164"/>
      <c r="BY130" s="164"/>
      <c r="BZ130" s="164"/>
      <c r="CA130" s="164"/>
      <c r="CB130" s="164"/>
      <c r="CC130" s="164"/>
      <c r="CD130" s="164"/>
      <c r="CE130" s="168"/>
      <c r="CF130" s="168"/>
      <c r="CG130" s="164"/>
      <c r="CH130" s="164"/>
      <c r="CI130" s="164"/>
      <c r="CJ130" s="164"/>
      <c r="CK130" s="164"/>
      <c r="CL130" s="164"/>
      <c r="CM130" s="164"/>
      <c r="CN130" s="164"/>
      <c r="CO130" s="164"/>
      <c r="CP130" s="164"/>
      <c r="CQ130" s="164"/>
      <c r="CR130" s="164"/>
      <c r="CS130" s="164"/>
      <c r="CT130" s="164"/>
      <c r="CU130" s="164"/>
      <c r="CV130" s="164"/>
      <c r="CW130" s="164">
        <f>CX130</f>
        <v>30000</v>
      </c>
      <c r="CX130" s="164">
        <v>30000</v>
      </c>
      <c r="CY130" s="164"/>
      <c r="CZ130" s="164"/>
      <c r="DA130" s="164"/>
      <c r="DB130" s="164"/>
      <c r="DC130" s="164"/>
      <c r="DD130" s="164"/>
      <c r="DE130" s="164"/>
      <c r="DF130" s="164">
        <f t="shared" si="282"/>
        <v>0</v>
      </c>
      <c r="DG130" s="164">
        <f>DJ130-CX130</f>
        <v>0</v>
      </c>
      <c r="DH130" s="164"/>
      <c r="DI130" s="164">
        <f t="shared" si="283"/>
        <v>30000</v>
      </c>
      <c r="DJ130" s="164">
        <v>30000</v>
      </c>
      <c r="DK130" s="164"/>
      <c r="DL130" s="164">
        <f t="shared" si="284"/>
        <v>0</v>
      </c>
      <c r="DM130" s="164">
        <v>0</v>
      </c>
      <c r="DN130" s="164"/>
      <c r="DO130" s="164">
        <f t="shared" si="285"/>
        <v>0</v>
      </c>
      <c r="DP130" s="164">
        <v>0</v>
      </c>
      <c r="DQ130" s="164"/>
      <c r="DR130" s="164">
        <f t="shared" si="286"/>
        <v>30000</v>
      </c>
      <c r="DS130" s="164">
        <f>DJ130-DM130-DP130</f>
        <v>30000</v>
      </c>
      <c r="DT130" s="164"/>
      <c r="DU130" s="164">
        <f>DV130</f>
        <v>10000</v>
      </c>
      <c r="DV130" s="164">
        <v>10000</v>
      </c>
      <c r="DW130" s="164"/>
      <c r="DX130" s="164"/>
      <c r="DY130" s="164"/>
      <c r="DZ130" s="164"/>
      <c r="EA130" s="164"/>
      <c r="EB130" s="164"/>
      <c r="EC130" s="164"/>
      <c r="ED130" s="164">
        <f>EE130</f>
        <v>9083.0925400000015</v>
      </c>
      <c r="EE130" s="164">
        <f>EH130-DV130</f>
        <v>9083.0925400000015</v>
      </c>
      <c r="EF130" s="164"/>
      <c r="EG130" s="163">
        <f>EH130</f>
        <v>19083.092540000001</v>
      </c>
      <c r="EH130" s="164">
        <v>19083.092540000001</v>
      </c>
      <c r="EI130" s="164"/>
      <c r="EJ130" s="164"/>
      <c r="EK130" s="164">
        <f>EL130</f>
        <v>-19083.092540000001</v>
      </c>
      <c r="EL130" s="164">
        <f>ET130-EH130</f>
        <v>-19083.092540000001</v>
      </c>
      <c r="EM130" s="164"/>
      <c r="EN130" s="164"/>
      <c r="EO130" s="164">
        <f>EP130</f>
        <v>0</v>
      </c>
      <c r="EP130" s="164"/>
      <c r="EQ130" s="164"/>
      <c r="ER130" s="164"/>
      <c r="ES130" s="163">
        <f>ET130</f>
        <v>0</v>
      </c>
      <c r="ET130" s="164"/>
      <c r="EU130" s="164"/>
      <c r="EV130" s="164"/>
      <c r="EW130" s="164">
        <f>EX130</f>
        <v>80000</v>
      </c>
      <c r="EX130" s="164">
        <v>80000</v>
      </c>
      <c r="EY130" s="164"/>
      <c r="EZ130" s="164">
        <f>FA130</f>
        <v>-64694.616600000001</v>
      </c>
      <c r="FA130" s="164">
        <f>FD130-EX130</f>
        <v>-64694.616600000001</v>
      </c>
      <c r="FB130" s="164"/>
      <c r="FC130" s="163">
        <f>FD130</f>
        <v>15305.383400000001</v>
      </c>
      <c r="FD130" s="163">
        <v>15305.383400000001</v>
      </c>
      <c r="FE130" s="163"/>
      <c r="FF130" s="163"/>
      <c r="FG130" s="163">
        <f>FH130</f>
        <v>3777.7091400000008</v>
      </c>
      <c r="FH130" s="163">
        <f>FP130-FD130</f>
        <v>3777.7091400000008</v>
      </c>
      <c r="FI130" s="163"/>
      <c r="FJ130" s="163"/>
      <c r="FK130" s="163">
        <f>FL130</f>
        <v>0</v>
      </c>
      <c r="FL130" s="163"/>
      <c r="FM130" s="163"/>
      <c r="FN130" s="163"/>
      <c r="FO130" s="163">
        <f>FP130</f>
        <v>19083.092540000001</v>
      </c>
      <c r="FP130" s="163">
        <f>EH130</f>
        <v>19083.092540000001</v>
      </c>
      <c r="FQ130" s="163"/>
      <c r="FR130" s="163"/>
      <c r="FS130" s="90">
        <f t="shared" si="195"/>
        <v>9122.6982399999997</v>
      </c>
      <c r="FT130" s="518">
        <f t="shared" si="241"/>
        <v>0.59604506477113139</v>
      </c>
      <c r="FU130" s="90">
        <v>9122.6982399999997</v>
      </c>
      <c r="FV130" s="518">
        <f t="shared" si="242"/>
        <v>0.59604506477113139</v>
      </c>
      <c r="FW130" s="87"/>
      <c r="FX130" s="665"/>
      <c r="FY130" s="90"/>
      <c r="FZ130" s="665"/>
      <c r="GA130" s="90">
        <f t="shared" si="247"/>
        <v>9122.6982399999997</v>
      </c>
      <c r="GB130" s="518">
        <f t="shared" si="248"/>
        <v>0.59604506477113139</v>
      </c>
      <c r="GC130" s="90">
        <v>9122.6982399999997</v>
      </c>
      <c r="GD130" s="518">
        <f t="shared" si="249"/>
        <v>0.59604506477113139</v>
      </c>
      <c r="GE130" s="87"/>
      <c r="GF130" s="515"/>
      <c r="GG130" s="87"/>
      <c r="GH130" s="515"/>
      <c r="GI130" s="90">
        <f t="shared" si="243"/>
        <v>15284.3405</v>
      </c>
      <c r="GJ130" s="518">
        <f t="shared" si="244"/>
        <v>0.99862513081508297</v>
      </c>
      <c r="GK130" s="90">
        <v>15284.3405</v>
      </c>
      <c r="GL130" s="518">
        <f t="shared" si="245"/>
        <v>0.99862513081508297</v>
      </c>
      <c r="GM130" s="90"/>
      <c r="GN130" s="518"/>
      <c r="GO130" s="90"/>
      <c r="GP130" s="518"/>
      <c r="GQ130" s="164"/>
      <c r="GR130" s="164"/>
      <c r="GS130" s="164"/>
      <c r="GT130" s="164"/>
      <c r="GU130" s="164">
        <f>GV130</f>
        <v>0</v>
      </c>
      <c r="GV130" s="164">
        <v>0</v>
      </c>
      <c r="GW130" s="164"/>
      <c r="GX130" s="164"/>
      <c r="GY130" s="164"/>
      <c r="GZ130" s="164"/>
      <c r="HA130" s="164"/>
      <c r="HB130" s="164"/>
      <c r="HC130" s="164"/>
      <c r="HD130" s="164"/>
      <c r="HE130" s="164"/>
      <c r="HF130" s="164"/>
      <c r="HG130" s="164">
        <f>HH130</f>
        <v>0</v>
      </c>
      <c r="HH130" s="164">
        <v>0</v>
      </c>
      <c r="HI130" s="164"/>
      <c r="HJ130" s="164"/>
      <c r="HK130" s="164">
        <f>HL130</f>
        <v>0</v>
      </c>
      <c r="HL130" s="164">
        <v>0</v>
      </c>
      <c r="HM130" s="164"/>
      <c r="HN130" s="164"/>
      <c r="HO130" s="164">
        <f>HP130</f>
        <v>0</v>
      </c>
      <c r="HP130" s="164">
        <v>0</v>
      </c>
      <c r="HQ130" s="164"/>
      <c r="HR130" s="164"/>
      <c r="HS130" s="164">
        <f>HT130</f>
        <v>0</v>
      </c>
      <c r="HT130" s="164">
        <v>0</v>
      </c>
      <c r="HU130" s="164"/>
      <c r="HV130" s="164"/>
      <c r="HW130" s="164">
        <f>HX130</f>
        <v>0</v>
      </c>
      <c r="HX130" s="164">
        <v>0</v>
      </c>
      <c r="HY130" s="164"/>
      <c r="HZ130" s="164"/>
      <c r="IA130" s="164">
        <f>IB130</f>
        <v>0</v>
      </c>
      <c r="IB130" s="164">
        <v>0</v>
      </c>
      <c r="IC130" s="164"/>
      <c r="ID130" s="164"/>
      <c r="IE130" s="185"/>
      <c r="IF130" s="170"/>
      <c r="IG130" s="170"/>
      <c r="IH130" s="170"/>
    </row>
    <row r="131" spans="2:242" s="171" customFormat="1" ht="22.5" hidden="1" customHeight="1" x14ac:dyDescent="0.25">
      <c r="B131" s="160"/>
      <c r="C131" s="161" t="s">
        <v>148</v>
      </c>
      <c r="D131" s="162"/>
      <c r="E131" s="163"/>
      <c r="F131" s="163"/>
      <c r="G131" s="163"/>
      <c r="H131" s="163"/>
      <c r="I131" s="163"/>
      <c r="J131" s="163"/>
      <c r="K131" s="163"/>
      <c r="L131" s="163"/>
      <c r="M131" s="163"/>
      <c r="N131" s="163"/>
      <c r="O131" s="163"/>
      <c r="P131" s="163"/>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5"/>
      <c r="AL131" s="165"/>
      <c r="AM131" s="164"/>
      <c r="AN131" s="164"/>
      <c r="AO131" s="166"/>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7"/>
      <c r="BL131" s="168"/>
      <c r="BM131" s="168"/>
      <c r="BN131" s="168"/>
      <c r="BO131" s="168"/>
      <c r="BP131" s="168"/>
      <c r="BQ131" s="168"/>
      <c r="BR131" s="168"/>
      <c r="BS131" s="168"/>
      <c r="BT131" s="168"/>
      <c r="BU131" s="168"/>
      <c r="BV131" s="164"/>
      <c r="BW131" s="164"/>
      <c r="BX131" s="164"/>
      <c r="BY131" s="164"/>
      <c r="BZ131" s="164"/>
      <c r="CA131" s="164"/>
      <c r="CB131" s="164"/>
      <c r="CC131" s="164"/>
      <c r="CD131" s="164"/>
      <c r="CE131" s="168"/>
      <c r="CF131" s="168"/>
      <c r="CG131" s="164"/>
      <c r="CH131" s="164"/>
      <c r="CI131" s="164"/>
      <c r="CJ131" s="164"/>
      <c r="CK131" s="164"/>
      <c r="CL131" s="164"/>
      <c r="CM131" s="164"/>
      <c r="CN131" s="164"/>
      <c r="CO131" s="164"/>
      <c r="CP131" s="164"/>
      <c r="CQ131" s="164"/>
      <c r="CR131" s="164"/>
      <c r="CS131" s="164"/>
      <c r="CT131" s="164"/>
      <c r="CU131" s="164"/>
      <c r="CV131" s="164"/>
      <c r="CW131" s="164"/>
      <c r="CX131" s="164"/>
      <c r="CY131" s="164"/>
      <c r="CZ131" s="164"/>
      <c r="DA131" s="164"/>
      <c r="DB131" s="164"/>
      <c r="DC131" s="164"/>
      <c r="DD131" s="164"/>
      <c r="DE131" s="164"/>
      <c r="DF131" s="164"/>
      <c r="DG131" s="164"/>
      <c r="DH131" s="164"/>
      <c r="DI131" s="164"/>
      <c r="DJ131" s="164"/>
      <c r="DK131" s="164"/>
      <c r="DL131" s="164"/>
      <c r="DM131" s="164"/>
      <c r="DN131" s="164"/>
      <c r="DO131" s="164"/>
      <c r="DP131" s="164"/>
      <c r="DQ131" s="164"/>
      <c r="DR131" s="164"/>
      <c r="DS131" s="164"/>
      <c r="DT131" s="164"/>
      <c r="DU131" s="164"/>
      <c r="DV131" s="164"/>
      <c r="DW131" s="164"/>
      <c r="DX131" s="164"/>
      <c r="DY131" s="164"/>
      <c r="DZ131" s="164"/>
      <c r="EA131" s="164"/>
      <c r="EB131" s="164"/>
      <c r="EC131" s="164"/>
      <c r="ED131" s="164"/>
      <c r="EE131" s="164"/>
      <c r="EF131" s="164"/>
      <c r="EG131" s="163">
        <f>EH131</f>
        <v>916.90746000000001</v>
      </c>
      <c r="EH131" s="164">
        <v>916.90746000000001</v>
      </c>
      <c r="EI131" s="164"/>
      <c r="EJ131" s="164"/>
      <c r="EK131" s="164"/>
      <c r="EL131" s="164"/>
      <c r="EM131" s="164"/>
      <c r="EN131" s="164"/>
      <c r="EO131" s="164"/>
      <c r="EP131" s="164"/>
      <c r="EQ131" s="164"/>
      <c r="ER131" s="164"/>
      <c r="ES131" s="163">
        <f>ET131+EV131</f>
        <v>0</v>
      </c>
      <c r="ET131" s="164"/>
      <c r="EU131" s="164"/>
      <c r="EV131" s="164"/>
      <c r="EW131" s="164"/>
      <c r="EX131" s="164"/>
      <c r="EY131" s="164"/>
      <c r="EZ131" s="164"/>
      <c r="FA131" s="164"/>
      <c r="FB131" s="164"/>
      <c r="FC131" s="163">
        <f>FD131</f>
        <v>916.90746000000001</v>
      </c>
      <c r="FD131" s="163">
        <v>916.90746000000001</v>
      </c>
      <c r="FE131" s="163"/>
      <c r="FF131" s="163"/>
      <c r="FG131" s="163">
        <f>FH131</f>
        <v>0</v>
      </c>
      <c r="FH131" s="163">
        <f>FP131-FD131</f>
        <v>0</v>
      </c>
      <c r="FI131" s="163"/>
      <c r="FJ131" s="163"/>
      <c r="FK131" s="163"/>
      <c r="FL131" s="163"/>
      <c r="FM131" s="163"/>
      <c r="FN131" s="163"/>
      <c r="FO131" s="163">
        <f>FP131</f>
        <v>916.90746000000001</v>
      </c>
      <c r="FP131" s="163">
        <f>EH131</f>
        <v>916.90746000000001</v>
      </c>
      <c r="FQ131" s="163"/>
      <c r="FR131" s="163"/>
      <c r="FS131" s="90">
        <f t="shared" si="195"/>
        <v>153.14458999999999</v>
      </c>
      <c r="FT131" s="518">
        <f t="shared" si="241"/>
        <v>0.1670229512583527</v>
      </c>
      <c r="FU131" s="90">
        <v>153.14458999999999</v>
      </c>
      <c r="FV131" s="518">
        <f t="shared" si="242"/>
        <v>0.1670229512583527</v>
      </c>
      <c r="FW131" s="87"/>
      <c r="FX131" s="665"/>
      <c r="FY131" s="90"/>
      <c r="FZ131" s="665"/>
      <c r="GA131" s="90">
        <f t="shared" si="247"/>
        <v>153.14458999999999</v>
      </c>
      <c r="GB131" s="518">
        <f t="shared" si="248"/>
        <v>0.1670229512583527</v>
      </c>
      <c r="GC131" s="90">
        <v>153.14458999999999</v>
      </c>
      <c r="GD131" s="518">
        <f t="shared" si="249"/>
        <v>0.1670229512583527</v>
      </c>
      <c r="GE131" s="87"/>
      <c r="GF131" s="515"/>
      <c r="GG131" s="87"/>
      <c r="GH131" s="515"/>
      <c r="GI131" s="90">
        <f t="shared" si="243"/>
        <v>243.08940999999999</v>
      </c>
      <c r="GJ131" s="518">
        <f t="shared" si="244"/>
        <v>0.26511880490098749</v>
      </c>
      <c r="GK131" s="90">
        <v>243.08940999999999</v>
      </c>
      <c r="GL131" s="518">
        <f t="shared" si="245"/>
        <v>0.26511880490098749</v>
      </c>
      <c r="GM131" s="90"/>
      <c r="GN131" s="518"/>
      <c r="GO131" s="90"/>
      <c r="GP131" s="518"/>
      <c r="GQ131" s="164"/>
      <c r="GR131" s="164"/>
      <c r="GS131" s="164"/>
      <c r="GT131" s="164"/>
      <c r="GU131" s="164"/>
      <c r="GV131" s="164"/>
      <c r="GW131" s="164"/>
      <c r="GX131" s="164"/>
      <c r="GY131" s="164"/>
      <c r="GZ131" s="164"/>
      <c r="HA131" s="164"/>
      <c r="HB131" s="164"/>
      <c r="HC131" s="164"/>
      <c r="HD131" s="164"/>
      <c r="HE131" s="164"/>
      <c r="HF131" s="164"/>
      <c r="HG131" s="164"/>
      <c r="HH131" s="164"/>
      <c r="HI131" s="164"/>
      <c r="HJ131" s="164"/>
      <c r="HK131" s="164"/>
      <c r="HL131" s="164"/>
      <c r="HM131" s="164"/>
      <c r="HN131" s="164"/>
      <c r="HO131" s="164"/>
      <c r="HP131" s="164"/>
      <c r="HQ131" s="164"/>
      <c r="HR131" s="164"/>
      <c r="HS131" s="164"/>
      <c r="HT131" s="164"/>
      <c r="HU131" s="164"/>
      <c r="HV131" s="164"/>
      <c r="HW131" s="164"/>
      <c r="HX131" s="164"/>
      <c r="HY131" s="164"/>
      <c r="HZ131" s="164"/>
      <c r="IA131" s="164"/>
      <c r="IB131" s="164"/>
      <c r="IC131" s="164"/>
      <c r="ID131" s="164"/>
      <c r="IE131" s="185"/>
      <c r="IF131" s="170"/>
      <c r="IG131" s="170"/>
      <c r="IH131" s="170"/>
    </row>
    <row r="132" spans="2:242" s="184" customFormat="1" ht="97.5" customHeight="1" x14ac:dyDescent="0.25">
      <c r="B132" s="178" t="s">
        <v>203</v>
      </c>
      <c r="C132" s="101" t="s">
        <v>216</v>
      </c>
      <c r="D132" s="179"/>
      <c r="E132" s="180"/>
      <c r="F132" s="180"/>
      <c r="G132" s="180"/>
      <c r="H132" s="180"/>
      <c r="I132" s="180"/>
      <c r="J132" s="180"/>
      <c r="K132" s="180"/>
      <c r="L132" s="180"/>
      <c r="M132" s="180"/>
      <c r="N132" s="180"/>
      <c r="O132" s="180"/>
      <c r="P132" s="180"/>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2"/>
      <c r="AL132" s="182"/>
      <c r="AM132" s="181"/>
      <c r="AN132" s="181"/>
      <c r="AO132" s="109"/>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10"/>
      <c r="BL132" s="106"/>
      <c r="BM132" s="106"/>
      <c r="BN132" s="106"/>
      <c r="BO132" s="106"/>
      <c r="BP132" s="106"/>
      <c r="BQ132" s="106"/>
      <c r="BR132" s="106"/>
      <c r="BS132" s="106"/>
      <c r="BT132" s="106"/>
      <c r="BU132" s="106"/>
      <c r="BV132" s="181"/>
      <c r="BW132" s="181"/>
      <c r="BX132" s="181"/>
      <c r="BY132" s="181"/>
      <c r="BZ132" s="181"/>
      <c r="CA132" s="181"/>
      <c r="CB132" s="181"/>
      <c r="CC132" s="181"/>
      <c r="CD132" s="181"/>
      <c r="CE132" s="106"/>
      <c r="CF132" s="106"/>
      <c r="CG132" s="181"/>
      <c r="CH132" s="181"/>
      <c r="CI132" s="181"/>
      <c r="CJ132" s="181"/>
      <c r="CK132" s="181"/>
      <c r="CL132" s="181"/>
      <c r="CM132" s="181"/>
      <c r="CN132" s="181"/>
      <c r="CO132" s="181"/>
      <c r="CP132" s="181"/>
      <c r="CQ132" s="181"/>
      <c r="CR132" s="181"/>
      <c r="CS132" s="181"/>
      <c r="CT132" s="181"/>
      <c r="CU132" s="181"/>
      <c r="CV132" s="181"/>
      <c r="CW132" s="181"/>
      <c r="CX132" s="181"/>
      <c r="CY132" s="181"/>
      <c r="CZ132" s="181"/>
      <c r="DA132" s="181"/>
      <c r="DB132" s="181"/>
      <c r="DC132" s="181"/>
      <c r="DD132" s="181"/>
      <c r="DE132" s="181"/>
      <c r="DF132" s="181"/>
      <c r="DG132" s="181"/>
      <c r="DH132" s="181"/>
      <c r="DI132" s="181"/>
      <c r="DJ132" s="181"/>
      <c r="DK132" s="181"/>
      <c r="DL132" s="181"/>
      <c r="DM132" s="181"/>
      <c r="DN132" s="181"/>
      <c r="DO132" s="181"/>
      <c r="DP132" s="181"/>
      <c r="DQ132" s="181"/>
      <c r="DR132" s="181"/>
      <c r="DS132" s="181"/>
      <c r="DT132" s="181"/>
      <c r="DU132" s="181"/>
      <c r="DV132" s="181"/>
      <c r="DW132" s="181"/>
      <c r="DX132" s="181"/>
      <c r="DY132" s="181"/>
      <c r="DZ132" s="181"/>
      <c r="EA132" s="181"/>
      <c r="EB132" s="181"/>
      <c r="EC132" s="181"/>
      <c r="ED132" s="181"/>
      <c r="EE132" s="181"/>
      <c r="EF132" s="181"/>
      <c r="EG132" s="180">
        <f>EH132</f>
        <v>0</v>
      </c>
      <c r="EH132" s="181">
        <f>EH133</f>
        <v>0</v>
      </c>
      <c r="EI132" s="181"/>
      <c r="EJ132" s="181"/>
      <c r="EK132" s="181">
        <f>EL132</f>
        <v>31907.81509</v>
      </c>
      <c r="EL132" s="181">
        <f>EL133</f>
        <v>31907.81509</v>
      </c>
      <c r="EM132" s="181"/>
      <c r="EN132" s="181"/>
      <c r="EO132" s="181"/>
      <c r="EP132" s="181"/>
      <c r="EQ132" s="181"/>
      <c r="ER132" s="181"/>
      <c r="ES132" s="106">
        <f>ET132</f>
        <v>31907.81509</v>
      </c>
      <c r="ET132" s="106">
        <f>ET133</f>
        <v>31907.81509</v>
      </c>
      <c r="EU132" s="181"/>
      <c r="EV132" s="181"/>
      <c r="EW132" s="181"/>
      <c r="EX132" s="181"/>
      <c r="EY132" s="181"/>
      <c r="EZ132" s="181"/>
      <c r="FA132" s="181"/>
      <c r="FB132" s="181"/>
      <c r="FC132" s="180">
        <f>FD132</f>
        <v>31907.81509</v>
      </c>
      <c r="FD132" s="180">
        <f>FD133</f>
        <v>31907.81509</v>
      </c>
      <c r="FE132" s="180"/>
      <c r="FF132" s="180"/>
      <c r="FG132" s="180">
        <f>FH132</f>
        <v>0</v>
      </c>
      <c r="FH132" s="180">
        <f>FH133</f>
        <v>0</v>
      </c>
      <c r="FI132" s="180"/>
      <c r="FJ132" s="180"/>
      <c r="FK132" s="180"/>
      <c r="FL132" s="180"/>
      <c r="FM132" s="180"/>
      <c r="FN132" s="180"/>
      <c r="FO132" s="180">
        <f>FP132</f>
        <v>31907.81509</v>
      </c>
      <c r="FP132" s="180">
        <f>FP133</f>
        <v>31907.81509</v>
      </c>
      <c r="FQ132" s="180"/>
      <c r="FR132" s="180"/>
      <c r="FS132" s="629">
        <f t="shared" si="195"/>
        <v>34697.789470000003</v>
      </c>
      <c r="FT132" s="595">
        <f t="shared" si="241"/>
        <v>1.0874385905813522</v>
      </c>
      <c r="FU132" s="180">
        <f>FU133</f>
        <v>34697.789470000003</v>
      </c>
      <c r="FV132" s="595">
        <f t="shared" si="242"/>
        <v>1.0874385905813522</v>
      </c>
      <c r="FW132" s="522"/>
      <c r="FX132" s="666"/>
      <c r="FY132" s="180"/>
      <c r="FZ132" s="666"/>
      <c r="GA132" s="180">
        <f t="shared" si="247"/>
        <v>31907.81509</v>
      </c>
      <c r="GB132" s="595">
        <f t="shared" si="248"/>
        <v>1</v>
      </c>
      <c r="GC132" s="180">
        <f>GC133</f>
        <v>31907.81509</v>
      </c>
      <c r="GD132" s="595">
        <f t="shared" si="249"/>
        <v>1</v>
      </c>
      <c r="GE132" s="522"/>
      <c r="GF132" s="514"/>
      <c r="GG132" s="522"/>
      <c r="GH132" s="514"/>
      <c r="GI132" s="629">
        <f t="shared" si="243"/>
        <v>31907.81509</v>
      </c>
      <c r="GJ132" s="595">
        <f t="shared" si="244"/>
        <v>1</v>
      </c>
      <c r="GK132" s="629">
        <f>GK133</f>
        <v>31907.81509</v>
      </c>
      <c r="GL132" s="595">
        <f t="shared" si="245"/>
        <v>1</v>
      </c>
      <c r="GM132" s="629"/>
      <c r="GN132" s="595"/>
      <c r="GO132" s="629"/>
      <c r="GP132" s="595"/>
      <c r="GQ132" s="181"/>
      <c r="GR132" s="181"/>
      <c r="GS132" s="181"/>
      <c r="GT132" s="181"/>
      <c r="GU132" s="180">
        <f>GV132</f>
        <v>4000</v>
      </c>
      <c r="GV132" s="181">
        <f>GV133</f>
        <v>4000</v>
      </c>
      <c r="GW132" s="181"/>
      <c r="GX132" s="181"/>
      <c r="GY132" s="181"/>
      <c r="GZ132" s="181"/>
      <c r="HA132" s="181"/>
      <c r="HB132" s="181"/>
      <c r="HC132" s="181"/>
      <c r="HD132" s="181"/>
      <c r="HE132" s="181"/>
      <c r="HF132" s="181"/>
      <c r="HG132" s="181"/>
      <c r="HH132" s="181"/>
      <c r="HI132" s="181"/>
      <c r="HJ132" s="181"/>
      <c r="HK132" s="181">
        <f>HL132</f>
        <v>0</v>
      </c>
      <c r="HL132" s="181">
        <f>HL133</f>
        <v>0</v>
      </c>
      <c r="HM132" s="181"/>
      <c r="HN132" s="181"/>
      <c r="HO132" s="105">
        <f>HP132</f>
        <v>4000</v>
      </c>
      <c r="HP132" s="181">
        <f>HP133</f>
        <v>4000</v>
      </c>
      <c r="HQ132" s="181"/>
      <c r="HR132" s="181"/>
      <c r="HS132" s="180">
        <f>HT132</f>
        <v>0</v>
      </c>
      <c r="HT132" s="181">
        <f>HT133</f>
        <v>0</v>
      </c>
      <c r="HU132" s="181"/>
      <c r="HV132" s="181"/>
      <c r="HW132" s="181">
        <f>HX132</f>
        <v>0</v>
      </c>
      <c r="HX132" s="181">
        <f>HX133</f>
        <v>0</v>
      </c>
      <c r="HY132" s="181"/>
      <c r="HZ132" s="181"/>
      <c r="IA132" s="181">
        <f>IB132</f>
        <v>0</v>
      </c>
      <c r="IB132" s="181">
        <f>IB133</f>
        <v>0</v>
      </c>
      <c r="IC132" s="181"/>
      <c r="ID132" s="181"/>
      <c r="IE132" s="198" t="s">
        <v>217</v>
      </c>
      <c r="IF132" s="183"/>
      <c r="IG132" s="183"/>
      <c r="IH132" s="183"/>
    </row>
    <row r="133" spans="2:242" s="171" customFormat="1" ht="52.5" hidden="1" customHeight="1" x14ac:dyDescent="0.25">
      <c r="B133" s="160"/>
      <c r="C133" s="161" t="s">
        <v>148</v>
      </c>
      <c r="D133" s="162"/>
      <c r="E133" s="163"/>
      <c r="F133" s="163"/>
      <c r="G133" s="163"/>
      <c r="H133" s="163"/>
      <c r="I133" s="163"/>
      <c r="J133" s="163"/>
      <c r="K133" s="163"/>
      <c r="L133" s="163"/>
      <c r="M133" s="163"/>
      <c r="N133" s="163"/>
      <c r="O133" s="163"/>
      <c r="P133" s="163"/>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5"/>
      <c r="AL133" s="165"/>
      <c r="AM133" s="164"/>
      <c r="AN133" s="164"/>
      <c r="AO133" s="166"/>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7"/>
      <c r="BL133" s="168"/>
      <c r="BM133" s="168"/>
      <c r="BN133" s="168"/>
      <c r="BO133" s="168"/>
      <c r="BP133" s="168"/>
      <c r="BQ133" s="168"/>
      <c r="BR133" s="168"/>
      <c r="BS133" s="168"/>
      <c r="BT133" s="168"/>
      <c r="BU133" s="168"/>
      <c r="BV133" s="164"/>
      <c r="BW133" s="164"/>
      <c r="BX133" s="164"/>
      <c r="BY133" s="164"/>
      <c r="BZ133" s="164"/>
      <c r="CA133" s="164"/>
      <c r="CB133" s="164"/>
      <c r="CC133" s="164"/>
      <c r="CD133" s="164"/>
      <c r="CE133" s="168"/>
      <c r="CF133" s="168"/>
      <c r="CG133" s="164"/>
      <c r="CH133" s="164"/>
      <c r="CI133" s="164"/>
      <c r="CJ133" s="164"/>
      <c r="CK133" s="164"/>
      <c r="CL133" s="164"/>
      <c r="CM133" s="164"/>
      <c r="CN133" s="164"/>
      <c r="CO133" s="164"/>
      <c r="CP133" s="164"/>
      <c r="CQ133" s="164"/>
      <c r="CR133" s="164"/>
      <c r="CS133" s="164"/>
      <c r="CT133" s="164"/>
      <c r="CU133" s="164"/>
      <c r="CV133" s="164"/>
      <c r="CW133" s="164"/>
      <c r="CX133" s="164"/>
      <c r="CY133" s="164"/>
      <c r="CZ133" s="164"/>
      <c r="DA133" s="164"/>
      <c r="DB133" s="164"/>
      <c r="DC133" s="164"/>
      <c r="DD133" s="164"/>
      <c r="DE133" s="164"/>
      <c r="DF133" s="164"/>
      <c r="DG133" s="164"/>
      <c r="DH133" s="164"/>
      <c r="DI133" s="164"/>
      <c r="DJ133" s="164"/>
      <c r="DK133" s="164"/>
      <c r="DL133" s="164"/>
      <c r="DM133" s="164"/>
      <c r="DN133" s="164"/>
      <c r="DO133" s="164"/>
      <c r="DP133" s="164"/>
      <c r="DQ133" s="164"/>
      <c r="DR133" s="164"/>
      <c r="DS133" s="164"/>
      <c r="DT133" s="164"/>
      <c r="DU133" s="164"/>
      <c r="DV133" s="164"/>
      <c r="DW133" s="164"/>
      <c r="DX133" s="164"/>
      <c r="DY133" s="164"/>
      <c r="DZ133" s="164"/>
      <c r="EA133" s="164"/>
      <c r="EB133" s="164"/>
      <c r="EC133" s="164"/>
      <c r="ED133" s="164"/>
      <c r="EE133" s="164"/>
      <c r="EF133" s="164"/>
      <c r="EG133" s="164">
        <f>EH133</f>
        <v>0</v>
      </c>
      <c r="EH133" s="164">
        <v>0</v>
      </c>
      <c r="EI133" s="164"/>
      <c r="EJ133" s="164"/>
      <c r="EK133" s="164">
        <f>EL133</f>
        <v>31907.81509</v>
      </c>
      <c r="EL133" s="164">
        <f>ET133-EH133</f>
        <v>31907.81509</v>
      </c>
      <c r="EM133" s="164"/>
      <c r="EN133" s="164"/>
      <c r="EO133" s="164"/>
      <c r="EP133" s="164"/>
      <c r="EQ133" s="164"/>
      <c r="ER133" s="164"/>
      <c r="ES133" s="164">
        <f>ET133</f>
        <v>31907.81509</v>
      </c>
      <c r="ET133" s="164">
        <f>FP133-EH133</f>
        <v>31907.81509</v>
      </c>
      <c r="EU133" s="164"/>
      <c r="EV133" s="164"/>
      <c r="EW133" s="164"/>
      <c r="EX133" s="164"/>
      <c r="EY133" s="164"/>
      <c r="EZ133" s="164"/>
      <c r="FA133" s="164"/>
      <c r="FB133" s="164"/>
      <c r="FC133" s="163">
        <f>FD133</f>
        <v>31907.81509</v>
      </c>
      <c r="FD133" s="163">
        <v>31907.81509</v>
      </c>
      <c r="FE133" s="163"/>
      <c r="FF133" s="163"/>
      <c r="FG133" s="163">
        <f>FH133</f>
        <v>0</v>
      </c>
      <c r="FH133" s="163">
        <f>FP133-FD133</f>
        <v>0</v>
      </c>
      <c r="FI133" s="163"/>
      <c r="FJ133" s="163"/>
      <c r="FK133" s="163"/>
      <c r="FL133" s="163"/>
      <c r="FM133" s="163"/>
      <c r="FN133" s="163"/>
      <c r="FO133" s="163">
        <f>FP133</f>
        <v>31907.81509</v>
      </c>
      <c r="FP133" s="163">
        <v>31907.81509</v>
      </c>
      <c r="FQ133" s="163"/>
      <c r="FR133" s="163"/>
      <c r="FS133" s="90">
        <f t="shared" si="195"/>
        <v>34697.789470000003</v>
      </c>
      <c r="FT133" s="518">
        <f t="shared" si="241"/>
        <v>1.0874385905813522</v>
      </c>
      <c r="FU133" s="90">
        <v>34697.789470000003</v>
      </c>
      <c r="FV133" s="518">
        <f t="shared" si="242"/>
        <v>1.0874385905813522</v>
      </c>
      <c r="FW133" s="87"/>
      <c r="FX133" s="665"/>
      <c r="FY133" s="90"/>
      <c r="FZ133" s="665"/>
      <c r="GA133" s="90">
        <f t="shared" si="247"/>
        <v>31907.81509</v>
      </c>
      <c r="GB133" s="518">
        <f t="shared" si="248"/>
        <v>1</v>
      </c>
      <c r="GC133" s="90">
        <f>FD133</f>
        <v>31907.81509</v>
      </c>
      <c r="GD133" s="518">
        <f t="shared" si="249"/>
        <v>1</v>
      </c>
      <c r="GE133" s="87"/>
      <c r="GF133" s="515"/>
      <c r="GG133" s="87"/>
      <c r="GH133" s="515"/>
      <c r="GI133" s="90">
        <f t="shared" si="243"/>
        <v>31907.81509</v>
      </c>
      <c r="GJ133" s="518">
        <f t="shared" si="244"/>
        <v>1</v>
      </c>
      <c r="GK133" s="90">
        <v>31907.81509</v>
      </c>
      <c r="GL133" s="518">
        <f t="shared" si="245"/>
        <v>1</v>
      </c>
      <c r="GM133" s="90"/>
      <c r="GN133" s="518"/>
      <c r="GO133" s="90"/>
      <c r="GP133" s="518"/>
      <c r="GQ133" s="164"/>
      <c r="GR133" s="164"/>
      <c r="GS133" s="164"/>
      <c r="GT133" s="164"/>
      <c r="GU133" s="164">
        <f>GV133</f>
        <v>4000</v>
      </c>
      <c r="GV133" s="164">
        <v>4000</v>
      </c>
      <c r="GW133" s="164"/>
      <c r="GX133" s="164"/>
      <c r="GY133" s="164"/>
      <c r="GZ133" s="164"/>
      <c r="HA133" s="164"/>
      <c r="HB133" s="164"/>
      <c r="HC133" s="164"/>
      <c r="HD133" s="164"/>
      <c r="HE133" s="164"/>
      <c r="HF133" s="164"/>
      <c r="HG133" s="164"/>
      <c r="HH133" s="164"/>
      <c r="HI133" s="164"/>
      <c r="HJ133" s="164"/>
      <c r="HK133" s="164">
        <f>HL133</f>
        <v>0</v>
      </c>
      <c r="HL133" s="164">
        <f>HP133-GV133</f>
        <v>0</v>
      </c>
      <c r="HM133" s="164"/>
      <c r="HN133" s="164"/>
      <c r="HO133" s="164">
        <f>HP133</f>
        <v>4000</v>
      </c>
      <c r="HP133" s="164">
        <v>4000</v>
      </c>
      <c r="HQ133" s="164"/>
      <c r="HR133" s="164"/>
      <c r="HS133" s="164">
        <f>HT133</f>
        <v>0</v>
      </c>
      <c r="HT133" s="164"/>
      <c r="HU133" s="164"/>
      <c r="HV133" s="164"/>
      <c r="HW133" s="164">
        <f>HX133</f>
        <v>0</v>
      </c>
      <c r="HX133" s="164">
        <f>IB133-HT133</f>
        <v>0</v>
      </c>
      <c r="HY133" s="164"/>
      <c r="HZ133" s="164"/>
      <c r="IA133" s="164">
        <f>IB133</f>
        <v>0</v>
      </c>
      <c r="IB133" s="164">
        <v>0</v>
      </c>
      <c r="IC133" s="164"/>
      <c r="ID133" s="164"/>
      <c r="IE133" s="185"/>
      <c r="IF133" s="170"/>
      <c r="IG133" s="170"/>
      <c r="IH133" s="170"/>
    </row>
    <row r="134" spans="2:242" s="212" customFormat="1" ht="22.5" hidden="1" customHeight="1" x14ac:dyDescent="0.25">
      <c r="B134" s="178"/>
      <c r="C134" s="197"/>
      <c r="D134" s="187"/>
      <c r="E134" s="188"/>
      <c r="F134" s="188"/>
      <c r="G134" s="188"/>
      <c r="H134" s="188"/>
      <c r="I134" s="188"/>
      <c r="J134" s="188"/>
      <c r="K134" s="188"/>
      <c r="L134" s="188"/>
      <c r="M134" s="188"/>
      <c r="N134" s="188"/>
      <c r="O134" s="188"/>
      <c r="P134" s="188"/>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2"/>
      <c r="AL134" s="182"/>
      <c r="AM134" s="189"/>
      <c r="AN134" s="189"/>
      <c r="AO134" s="109"/>
      <c r="AP134" s="189"/>
      <c r="AQ134" s="189"/>
      <c r="AR134" s="189"/>
      <c r="AS134" s="189"/>
      <c r="AT134" s="189"/>
      <c r="AU134" s="189"/>
      <c r="AV134" s="189"/>
      <c r="AW134" s="189"/>
      <c r="AX134" s="189"/>
      <c r="AY134" s="189"/>
      <c r="AZ134" s="189"/>
      <c r="BA134" s="189"/>
      <c r="BB134" s="189"/>
      <c r="BC134" s="189"/>
      <c r="BD134" s="189"/>
      <c r="BE134" s="189"/>
      <c r="BF134" s="189"/>
      <c r="BG134" s="189"/>
      <c r="BH134" s="189"/>
      <c r="BI134" s="189"/>
      <c r="BJ134" s="189"/>
      <c r="BK134" s="110"/>
      <c r="BL134" s="106"/>
      <c r="BM134" s="106"/>
      <c r="BN134" s="106"/>
      <c r="BO134" s="106"/>
      <c r="BP134" s="106"/>
      <c r="BQ134" s="106"/>
      <c r="BR134" s="106"/>
      <c r="BS134" s="106"/>
      <c r="BT134" s="106"/>
      <c r="BU134" s="106"/>
      <c r="BV134" s="189"/>
      <c r="BW134" s="189"/>
      <c r="BX134" s="189"/>
      <c r="BY134" s="189"/>
      <c r="BZ134" s="189"/>
      <c r="CA134" s="189"/>
      <c r="CB134" s="189"/>
      <c r="CC134" s="189"/>
      <c r="CD134" s="189"/>
      <c r="CE134" s="106"/>
      <c r="CF134" s="106"/>
      <c r="CG134" s="189"/>
      <c r="CH134" s="189"/>
      <c r="CI134" s="189"/>
      <c r="CJ134" s="189"/>
      <c r="CK134" s="189"/>
      <c r="CL134" s="189"/>
      <c r="CM134" s="189"/>
      <c r="CN134" s="189"/>
      <c r="CO134" s="189"/>
      <c r="CP134" s="189"/>
      <c r="CQ134" s="189"/>
      <c r="CR134" s="189"/>
      <c r="CS134" s="189"/>
      <c r="CT134" s="189"/>
      <c r="CU134" s="189"/>
      <c r="CV134" s="189"/>
      <c r="CW134" s="189"/>
      <c r="CX134" s="189"/>
      <c r="CY134" s="189"/>
      <c r="CZ134" s="189"/>
      <c r="DA134" s="189"/>
      <c r="DB134" s="189"/>
      <c r="DC134" s="189"/>
      <c r="DD134" s="189"/>
      <c r="DE134" s="189"/>
      <c r="DF134" s="189"/>
      <c r="DG134" s="189"/>
      <c r="DH134" s="189"/>
      <c r="DI134" s="189"/>
      <c r="DJ134" s="189"/>
      <c r="DK134" s="189"/>
      <c r="DL134" s="189"/>
      <c r="DM134" s="189"/>
      <c r="DN134" s="189"/>
      <c r="DO134" s="189"/>
      <c r="DP134" s="189"/>
      <c r="DQ134" s="189"/>
      <c r="DR134" s="189"/>
      <c r="DS134" s="189"/>
      <c r="DT134" s="189"/>
      <c r="DU134" s="189"/>
      <c r="DV134" s="189"/>
      <c r="DW134" s="189"/>
      <c r="DX134" s="189"/>
      <c r="DY134" s="189"/>
      <c r="DZ134" s="189"/>
      <c r="EA134" s="189"/>
      <c r="EB134" s="189"/>
      <c r="EC134" s="189"/>
      <c r="ED134" s="189"/>
      <c r="EE134" s="189"/>
      <c r="EF134" s="189"/>
      <c r="EG134" s="189"/>
      <c r="EH134" s="189"/>
      <c r="EI134" s="189"/>
      <c r="EJ134" s="189"/>
      <c r="EK134" s="189"/>
      <c r="EL134" s="189"/>
      <c r="EM134" s="189"/>
      <c r="EN134" s="189"/>
      <c r="EO134" s="189"/>
      <c r="EP134" s="189"/>
      <c r="EQ134" s="189"/>
      <c r="ER134" s="189"/>
      <c r="ES134" s="188"/>
      <c r="ET134" s="189"/>
      <c r="EU134" s="189"/>
      <c r="EV134" s="189"/>
      <c r="EW134" s="189"/>
      <c r="EX134" s="189"/>
      <c r="EY134" s="189"/>
      <c r="EZ134" s="189"/>
      <c r="FA134" s="189"/>
      <c r="FB134" s="189"/>
      <c r="FC134" s="188"/>
      <c r="FD134" s="188"/>
      <c r="FE134" s="188"/>
      <c r="FF134" s="188"/>
      <c r="FG134" s="188"/>
      <c r="FH134" s="188"/>
      <c r="FI134" s="188"/>
      <c r="FJ134" s="188"/>
      <c r="FK134" s="188"/>
      <c r="FL134" s="188"/>
      <c r="FM134" s="188"/>
      <c r="FN134" s="188"/>
      <c r="FO134" s="188"/>
      <c r="FP134" s="188"/>
      <c r="FQ134" s="188"/>
      <c r="FR134" s="188"/>
      <c r="FS134" s="39"/>
      <c r="FT134" s="485"/>
      <c r="FU134" s="39"/>
      <c r="FV134" s="485"/>
      <c r="FW134" s="38"/>
      <c r="FX134" s="660"/>
      <c r="FY134" s="39"/>
      <c r="FZ134" s="660"/>
      <c r="GA134" s="39"/>
      <c r="GB134" s="485"/>
      <c r="GC134" s="39"/>
      <c r="GD134" s="485"/>
      <c r="GE134" s="82"/>
      <c r="GF134" s="498"/>
      <c r="GG134" s="82"/>
      <c r="GH134" s="498"/>
      <c r="GI134" s="90"/>
      <c r="GJ134" s="485"/>
      <c r="GK134" s="90"/>
      <c r="GL134" s="485"/>
      <c r="GM134" s="90"/>
      <c r="GN134" s="485"/>
      <c r="GO134" s="90"/>
      <c r="GP134" s="485"/>
      <c r="GQ134" s="189"/>
      <c r="GR134" s="189"/>
      <c r="GS134" s="189"/>
      <c r="GT134" s="189"/>
      <c r="GU134" s="189"/>
      <c r="GV134" s="189"/>
      <c r="GW134" s="189"/>
      <c r="GX134" s="189"/>
      <c r="GY134" s="189"/>
      <c r="GZ134" s="189"/>
      <c r="HA134" s="189"/>
      <c r="HB134" s="189"/>
      <c r="HC134" s="189"/>
      <c r="HD134" s="189"/>
      <c r="HE134" s="189"/>
      <c r="HF134" s="189"/>
      <c r="HG134" s="189"/>
      <c r="HH134" s="189"/>
      <c r="HI134" s="189"/>
      <c r="HJ134" s="189"/>
      <c r="HK134" s="189"/>
      <c r="HL134" s="189"/>
      <c r="HM134" s="189"/>
      <c r="HN134" s="189"/>
      <c r="HO134" s="189"/>
      <c r="HP134" s="189"/>
      <c r="HQ134" s="189"/>
      <c r="HR134" s="189"/>
      <c r="HS134" s="189"/>
      <c r="HT134" s="189"/>
      <c r="HU134" s="189"/>
      <c r="HV134" s="189"/>
      <c r="HW134" s="189"/>
      <c r="HX134" s="189"/>
      <c r="HY134" s="189"/>
      <c r="HZ134" s="189"/>
      <c r="IA134" s="189"/>
      <c r="IB134" s="189"/>
      <c r="IC134" s="189"/>
      <c r="ID134" s="189"/>
      <c r="IE134" s="169"/>
      <c r="IF134" s="193"/>
      <c r="IG134" s="193"/>
      <c r="IH134" s="193"/>
    </row>
    <row r="135" spans="2:242" s="212" customFormat="1" ht="22.5" hidden="1" customHeight="1" x14ac:dyDescent="0.25">
      <c r="B135" s="178"/>
      <c r="C135" s="197"/>
      <c r="D135" s="187"/>
      <c r="E135" s="188"/>
      <c r="F135" s="188"/>
      <c r="G135" s="188"/>
      <c r="H135" s="188"/>
      <c r="I135" s="188"/>
      <c r="J135" s="188"/>
      <c r="K135" s="188"/>
      <c r="L135" s="188"/>
      <c r="M135" s="188"/>
      <c r="N135" s="188"/>
      <c r="O135" s="188"/>
      <c r="P135" s="188"/>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2"/>
      <c r="AL135" s="182"/>
      <c r="AM135" s="189"/>
      <c r="AN135" s="189"/>
      <c r="AO135" s="109"/>
      <c r="AP135" s="189"/>
      <c r="AQ135" s="189"/>
      <c r="AR135" s="189"/>
      <c r="AS135" s="189"/>
      <c r="AT135" s="189"/>
      <c r="AU135" s="189"/>
      <c r="AV135" s="189"/>
      <c r="AW135" s="189"/>
      <c r="AX135" s="189"/>
      <c r="AY135" s="189"/>
      <c r="AZ135" s="189"/>
      <c r="BA135" s="189"/>
      <c r="BB135" s="189"/>
      <c r="BC135" s="189"/>
      <c r="BD135" s="189"/>
      <c r="BE135" s="189"/>
      <c r="BF135" s="189"/>
      <c r="BG135" s="189"/>
      <c r="BH135" s="189"/>
      <c r="BI135" s="189"/>
      <c r="BJ135" s="189"/>
      <c r="BK135" s="110"/>
      <c r="BL135" s="106"/>
      <c r="BM135" s="106"/>
      <c r="BN135" s="106"/>
      <c r="BO135" s="106"/>
      <c r="BP135" s="106"/>
      <c r="BQ135" s="106"/>
      <c r="BR135" s="106"/>
      <c r="BS135" s="106"/>
      <c r="BT135" s="106"/>
      <c r="BU135" s="106"/>
      <c r="BV135" s="189"/>
      <c r="BW135" s="189"/>
      <c r="BX135" s="189"/>
      <c r="BY135" s="189"/>
      <c r="BZ135" s="189"/>
      <c r="CA135" s="189"/>
      <c r="CB135" s="189"/>
      <c r="CC135" s="189"/>
      <c r="CD135" s="189"/>
      <c r="CE135" s="106"/>
      <c r="CF135" s="106"/>
      <c r="CG135" s="189"/>
      <c r="CH135" s="189"/>
      <c r="CI135" s="189"/>
      <c r="CJ135" s="189"/>
      <c r="CK135" s="189"/>
      <c r="CL135" s="189"/>
      <c r="CM135" s="189"/>
      <c r="CN135" s="189"/>
      <c r="CO135" s="189"/>
      <c r="CP135" s="189"/>
      <c r="CQ135" s="189"/>
      <c r="CR135" s="189"/>
      <c r="CS135" s="189"/>
      <c r="CT135" s="189"/>
      <c r="CU135" s="189"/>
      <c r="CV135" s="189"/>
      <c r="CW135" s="189"/>
      <c r="CX135" s="189"/>
      <c r="CY135" s="189"/>
      <c r="CZ135" s="189"/>
      <c r="DA135" s="189"/>
      <c r="DB135" s="189"/>
      <c r="DC135" s="189"/>
      <c r="DD135" s="189"/>
      <c r="DE135" s="189"/>
      <c r="DF135" s="189"/>
      <c r="DG135" s="189"/>
      <c r="DH135" s="189"/>
      <c r="DI135" s="189"/>
      <c r="DJ135" s="189"/>
      <c r="DK135" s="189"/>
      <c r="DL135" s="189"/>
      <c r="DM135" s="189"/>
      <c r="DN135" s="189"/>
      <c r="DO135" s="189"/>
      <c r="DP135" s="189"/>
      <c r="DQ135" s="189"/>
      <c r="DR135" s="189"/>
      <c r="DS135" s="189"/>
      <c r="DT135" s="189"/>
      <c r="DU135" s="189"/>
      <c r="DV135" s="189"/>
      <c r="DW135" s="189"/>
      <c r="DX135" s="189"/>
      <c r="DY135" s="189"/>
      <c r="DZ135" s="189"/>
      <c r="EA135" s="189"/>
      <c r="EB135" s="189"/>
      <c r="EC135" s="189"/>
      <c r="ED135" s="189"/>
      <c r="EE135" s="189"/>
      <c r="EF135" s="189"/>
      <c r="EG135" s="189"/>
      <c r="EH135" s="189"/>
      <c r="EI135" s="189"/>
      <c r="EJ135" s="189"/>
      <c r="EK135" s="189"/>
      <c r="EL135" s="189"/>
      <c r="EM135" s="189"/>
      <c r="EN135" s="189"/>
      <c r="EO135" s="189"/>
      <c r="EP135" s="189"/>
      <c r="EQ135" s="189"/>
      <c r="ER135" s="189"/>
      <c r="ES135" s="188"/>
      <c r="ET135" s="189"/>
      <c r="EU135" s="189"/>
      <c r="EV135" s="189"/>
      <c r="EW135" s="189"/>
      <c r="EX135" s="189"/>
      <c r="EY135" s="189"/>
      <c r="EZ135" s="189"/>
      <c r="FA135" s="189"/>
      <c r="FB135" s="189"/>
      <c r="FC135" s="188"/>
      <c r="FD135" s="188"/>
      <c r="FE135" s="188"/>
      <c r="FF135" s="188"/>
      <c r="FG135" s="188"/>
      <c r="FH135" s="188"/>
      <c r="FI135" s="188"/>
      <c r="FJ135" s="188"/>
      <c r="FK135" s="188"/>
      <c r="FL135" s="188"/>
      <c r="FM135" s="188"/>
      <c r="FN135" s="188"/>
      <c r="FO135" s="188"/>
      <c r="FP135" s="188"/>
      <c r="FQ135" s="188"/>
      <c r="FR135" s="188"/>
      <c r="FS135" s="39"/>
      <c r="FT135" s="485"/>
      <c r="FU135" s="39"/>
      <c r="FV135" s="485"/>
      <c r="FW135" s="38"/>
      <c r="FX135" s="660"/>
      <c r="FY135" s="39"/>
      <c r="FZ135" s="660"/>
      <c r="GA135" s="39"/>
      <c r="GB135" s="485"/>
      <c r="GC135" s="39"/>
      <c r="GD135" s="485"/>
      <c r="GE135" s="82"/>
      <c r="GF135" s="498"/>
      <c r="GG135" s="82"/>
      <c r="GH135" s="498"/>
      <c r="GI135" s="90"/>
      <c r="GJ135" s="485"/>
      <c r="GK135" s="90"/>
      <c r="GL135" s="485"/>
      <c r="GM135" s="90"/>
      <c r="GN135" s="485"/>
      <c r="GO135" s="90"/>
      <c r="GP135" s="485"/>
      <c r="GQ135" s="189"/>
      <c r="GR135" s="189"/>
      <c r="GS135" s="189"/>
      <c r="GT135" s="189"/>
      <c r="GU135" s="189"/>
      <c r="GV135" s="189"/>
      <c r="GW135" s="189"/>
      <c r="GX135" s="189"/>
      <c r="GY135" s="189"/>
      <c r="GZ135" s="189"/>
      <c r="HA135" s="189"/>
      <c r="HB135" s="189"/>
      <c r="HC135" s="189"/>
      <c r="HD135" s="189"/>
      <c r="HE135" s="189"/>
      <c r="HF135" s="189"/>
      <c r="HG135" s="189"/>
      <c r="HH135" s="189"/>
      <c r="HI135" s="189"/>
      <c r="HJ135" s="189"/>
      <c r="HK135" s="189"/>
      <c r="HL135" s="189"/>
      <c r="HM135" s="189"/>
      <c r="HN135" s="189"/>
      <c r="HO135" s="189"/>
      <c r="HP135" s="189"/>
      <c r="HQ135" s="189"/>
      <c r="HR135" s="189"/>
      <c r="HS135" s="189"/>
      <c r="HT135" s="189"/>
      <c r="HU135" s="189"/>
      <c r="HV135" s="189"/>
      <c r="HW135" s="189"/>
      <c r="HX135" s="189"/>
      <c r="HY135" s="189"/>
      <c r="HZ135" s="189"/>
      <c r="IA135" s="189"/>
      <c r="IB135" s="189"/>
      <c r="IC135" s="189"/>
      <c r="ID135" s="189"/>
      <c r="IE135" s="169"/>
      <c r="IF135" s="193"/>
      <c r="IG135" s="193"/>
      <c r="IH135" s="193"/>
    </row>
    <row r="136" spans="2:242" s="555" customFormat="1" ht="57.75" customHeight="1" x14ac:dyDescent="0.25">
      <c r="B136" s="178" t="s">
        <v>213</v>
      </c>
      <c r="C136" s="176" t="s">
        <v>186</v>
      </c>
      <c r="D136" s="179" t="s">
        <v>218</v>
      </c>
      <c r="E136" s="180">
        <f>F136+G136</f>
        <v>49028.112280000001</v>
      </c>
      <c r="F136" s="210">
        <v>43023.37485</v>
      </c>
      <c r="G136" s="210">
        <f>6004.73743</f>
        <v>6004.7374300000001</v>
      </c>
      <c r="H136" s="180">
        <f>I136+J136</f>
        <v>4870.2642799999976</v>
      </c>
      <c r="I136" s="180">
        <f>L136-F136</f>
        <v>7540.6497299999974</v>
      </c>
      <c r="J136" s="180">
        <f>M136-G136</f>
        <v>-2670.3854500000002</v>
      </c>
      <c r="K136" s="180">
        <f>L136+M136</f>
        <v>53898.376559999997</v>
      </c>
      <c r="L136" s="210">
        <v>50564.024579999998</v>
      </c>
      <c r="M136" s="210">
        <f>6004.73743-2670.38545</f>
        <v>3334.3519799999999</v>
      </c>
      <c r="N136" s="180">
        <f>O136+P136</f>
        <v>-4000</v>
      </c>
      <c r="O136" s="180">
        <f>R136-L136</f>
        <v>-4000</v>
      </c>
      <c r="P136" s="180">
        <f>S136-M136</f>
        <v>0</v>
      </c>
      <c r="Q136" s="181">
        <f>R136+S136</f>
        <v>49898.376559999997</v>
      </c>
      <c r="R136" s="182">
        <f>50564.02458-4000</f>
        <v>46564.024579999998</v>
      </c>
      <c r="S136" s="182">
        <f>6004.73743-2670.38545</f>
        <v>3334.3519799999999</v>
      </c>
      <c r="T136" s="181">
        <f>U136+V136</f>
        <v>24927.599999999999</v>
      </c>
      <c r="U136" s="182">
        <v>0</v>
      </c>
      <c r="V136" s="182">
        <v>24927.599999999999</v>
      </c>
      <c r="W136" s="181">
        <f>X136+Y136</f>
        <v>42279.985999999997</v>
      </c>
      <c r="X136" s="181">
        <f>AA136-U136</f>
        <v>67207.585999999996</v>
      </c>
      <c r="Y136" s="181">
        <f>AB136-V136</f>
        <v>-24927.599999999999</v>
      </c>
      <c r="Z136" s="181">
        <f>AA136+AB136</f>
        <v>67207.585999999996</v>
      </c>
      <c r="AA136" s="182">
        <v>67207.585999999996</v>
      </c>
      <c r="AB136" s="182">
        <v>0</v>
      </c>
      <c r="AC136" s="181">
        <f>AD136+AE136</f>
        <v>0</v>
      </c>
      <c r="AD136" s="182">
        <v>0</v>
      </c>
      <c r="AE136" s="182">
        <v>0</v>
      </c>
      <c r="AF136" s="181" t="e">
        <f>AG136+AH136</f>
        <v>#REF!</v>
      </c>
      <c r="AG136" s="182" t="e">
        <f>'[3]2017_с остатком на торги'!$AG$113</f>
        <v>#REF!</v>
      </c>
      <c r="AH136" s="182">
        <v>0</v>
      </c>
      <c r="AI136" s="182">
        <v>0</v>
      </c>
      <c r="AJ136" s="182">
        <f>AA136</f>
        <v>67207.585999999996</v>
      </c>
      <c r="AK136" s="182">
        <f>Z136-AJ136</f>
        <v>0</v>
      </c>
      <c r="AL136" s="182" t="e">
        <f>AF136-AJ136</f>
        <v>#REF!</v>
      </c>
      <c r="AM136" s="483" t="s">
        <v>219</v>
      </c>
      <c r="AN136" s="483" t="s">
        <v>220</v>
      </c>
      <c r="AO136" s="109">
        <v>1</v>
      </c>
      <c r="AP136" s="182">
        <v>57652.852780000001</v>
      </c>
      <c r="AQ136" s="182"/>
      <c r="AR136" s="182" t="e">
        <f>AF136-AP136</f>
        <v>#REF!</v>
      </c>
      <c r="AS136" s="181">
        <f>AT136+AU136</f>
        <v>25000</v>
      </c>
      <c r="AT136" s="182">
        <v>25000</v>
      </c>
      <c r="AU136" s="182">
        <v>0</v>
      </c>
      <c r="AV136" s="181">
        <f>AW136+AX136</f>
        <v>-5000</v>
      </c>
      <c r="AW136" s="181">
        <v>-5000</v>
      </c>
      <c r="AX136" s="181">
        <f>BA136-AU136</f>
        <v>0</v>
      </c>
      <c r="AY136" s="181">
        <f>AZ136+BA136</f>
        <v>20000</v>
      </c>
      <c r="AZ136" s="182">
        <f>AT136+AW136</f>
        <v>20000</v>
      </c>
      <c r="BA136" s="182">
        <v>0</v>
      </c>
      <c r="BB136" s="181">
        <f>BC136+BD136</f>
        <v>25000</v>
      </c>
      <c r="BC136" s="182">
        <v>25000</v>
      </c>
      <c r="BD136" s="182"/>
      <c r="BE136" s="181">
        <f>BF136+BG136</f>
        <v>0</v>
      </c>
      <c r="BF136" s="181">
        <f>BW136-BC136</f>
        <v>0</v>
      </c>
      <c r="BG136" s="181">
        <f>BX136-BD136</f>
        <v>0</v>
      </c>
      <c r="BH136" s="181">
        <f>BI136+BJ136</f>
        <v>20000</v>
      </c>
      <c r="BI136" s="182">
        <v>20000</v>
      </c>
      <c r="BJ136" s="182">
        <v>0</v>
      </c>
      <c r="BK136" s="110">
        <v>1</v>
      </c>
      <c r="BL136" s="106">
        <f>AY136</f>
        <v>20000</v>
      </c>
      <c r="BM136" s="106">
        <f>BN136+BO136</f>
        <v>0</v>
      </c>
      <c r="BN136" s="106">
        <v>0</v>
      </c>
      <c r="BO136" s="106"/>
      <c r="BP136" s="106">
        <f>BQ136+BR136</f>
        <v>8180.3436499999998</v>
      </c>
      <c r="BQ136" s="106">
        <v>8180.3436499999998</v>
      </c>
      <c r="BR136" s="106"/>
      <c r="BS136" s="106">
        <f>BT136+BU136</f>
        <v>11819.656350000001</v>
      </c>
      <c r="BT136" s="106">
        <f>AZ136-BN136-BQ136</f>
        <v>11819.656350000001</v>
      </c>
      <c r="BU136" s="106"/>
      <c r="BV136" s="181">
        <f>BW136+BX136</f>
        <v>25000</v>
      </c>
      <c r="BW136" s="182">
        <v>25000</v>
      </c>
      <c r="BX136" s="182"/>
      <c r="BY136" s="181">
        <f>BZ136+CA136</f>
        <v>0</v>
      </c>
      <c r="BZ136" s="181">
        <f>CC136-BI136</f>
        <v>0</v>
      </c>
      <c r="CA136" s="181">
        <f>CD136-BX136</f>
        <v>0</v>
      </c>
      <c r="CB136" s="181">
        <f t="shared" ref="CB136:CB164" si="305">CC136+CD136</f>
        <v>20000</v>
      </c>
      <c r="CC136" s="181">
        <v>20000</v>
      </c>
      <c r="CD136" s="182"/>
      <c r="CE136" s="106">
        <v>1</v>
      </c>
      <c r="CF136" s="106">
        <f>CB136</f>
        <v>20000</v>
      </c>
      <c r="CG136" s="181"/>
      <c r="CH136" s="181">
        <f>CI136+CJ136</f>
        <v>10000</v>
      </c>
      <c r="CI136" s="182">
        <v>10000</v>
      </c>
      <c r="CJ136" s="182">
        <v>0</v>
      </c>
      <c r="CK136" s="181">
        <f>CL136+CM136</f>
        <v>0</v>
      </c>
      <c r="CL136" s="181">
        <f>CR136-CI136</f>
        <v>0</v>
      </c>
      <c r="CM136" s="181">
        <f>CS136-CJ136</f>
        <v>0</v>
      </c>
      <c r="CN136" s="181"/>
      <c r="CO136" s="181"/>
      <c r="CP136" s="181"/>
      <c r="CQ136" s="181">
        <f>CR136+CS136</f>
        <v>10000</v>
      </c>
      <c r="CR136" s="182">
        <v>10000</v>
      </c>
      <c r="CS136" s="182">
        <v>0</v>
      </c>
      <c r="CT136" s="181">
        <f>CU136+CV136</f>
        <v>0</v>
      </c>
      <c r="CU136" s="182"/>
      <c r="CV136" s="182"/>
      <c r="CW136" s="181">
        <f t="shared" ref="CW136:CW164" si="306">CX136+CY136</f>
        <v>44694.042800000003</v>
      </c>
      <c r="CX136" s="181">
        <v>44694.042800000003</v>
      </c>
      <c r="CY136" s="182"/>
      <c r="CZ136" s="181">
        <f t="shared" ref="CZ136:CZ164" si="307">DA136+DB136</f>
        <v>10000</v>
      </c>
      <c r="DA136" s="182">
        <v>10000</v>
      </c>
      <c r="DB136" s="182">
        <v>0</v>
      </c>
      <c r="DC136" s="182"/>
      <c r="DD136" s="182"/>
      <c r="DE136" s="182"/>
      <c r="DF136" s="181">
        <f t="shared" ref="DF136:DF164" si="308">DG136+DH136</f>
        <v>0</v>
      </c>
      <c r="DG136" s="181">
        <f>DJ136-CX136</f>
        <v>0</v>
      </c>
      <c r="DH136" s="182"/>
      <c r="DI136" s="181">
        <f t="shared" si="283"/>
        <v>44694.042799999996</v>
      </c>
      <c r="DJ136" s="181">
        <f>24694.0428+20000</f>
        <v>44694.042799999996</v>
      </c>
      <c r="DK136" s="182"/>
      <c r="DL136" s="181">
        <f t="shared" ref="DL136:DL164" si="309">DM136+DN136</f>
        <v>39694.042799999996</v>
      </c>
      <c r="DM136" s="181">
        <f>20000+19694.0428</f>
        <v>39694.042799999996</v>
      </c>
      <c r="DN136" s="182"/>
      <c r="DO136" s="181">
        <f t="shared" ref="DO136:DO164" si="310">DP136+DQ136</f>
        <v>0</v>
      </c>
      <c r="DP136" s="181">
        <v>0</v>
      </c>
      <c r="DQ136" s="182"/>
      <c r="DR136" s="181">
        <f t="shared" ref="DR136:DR164" si="311">DS136+DT136</f>
        <v>5000</v>
      </c>
      <c r="DS136" s="181">
        <f>DJ136-DM136</f>
        <v>5000</v>
      </c>
      <c r="DT136" s="182"/>
      <c r="DU136" s="181">
        <f t="shared" ref="DU136:DU164" si="312">DV136+DW136</f>
        <v>10000</v>
      </c>
      <c r="DV136" s="182">
        <v>10000</v>
      </c>
      <c r="DW136" s="182"/>
      <c r="DX136" s="181">
        <f t="shared" ref="DX136:DX164" si="313">DY136+DZ136</f>
        <v>15000</v>
      </c>
      <c r="DY136" s="182">
        <v>15000</v>
      </c>
      <c r="DZ136" s="182">
        <v>0</v>
      </c>
      <c r="EA136" s="182"/>
      <c r="EB136" s="182"/>
      <c r="EC136" s="182"/>
      <c r="ED136" s="182"/>
      <c r="EE136" s="182"/>
      <c r="EF136" s="182"/>
      <c r="EG136" s="106">
        <f>EH136</f>
        <v>131350</v>
      </c>
      <c r="EH136" s="106">
        <v>131350</v>
      </c>
      <c r="EI136" s="106"/>
      <c r="EJ136" s="106"/>
      <c r="EK136" s="106">
        <f>EL136</f>
        <v>0</v>
      </c>
      <c r="EL136" s="106"/>
      <c r="EM136" s="106"/>
      <c r="EN136" s="106"/>
      <c r="EO136" s="106">
        <f>EP136</f>
        <v>0</v>
      </c>
      <c r="EP136" s="106"/>
      <c r="EQ136" s="106"/>
      <c r="ER136" s="106"/>
      <c r="ES136" s="106">
        <f t="shared" ref="ES136:ES164" si="314">ET136+EV136</f>
        <v>0</v>
      </c>
      <c r="ET136" s="106"/>
      <c r="EU136" s="106"/>
      <c r="EV136" s="106"/>
      <c r="EW136" s="106">
        <f t="shared" ref="EW136:EW156" si="315">EX136+EY136</f>
        <v>15000</v>
      </c>
      <c r="EX136" s="106">
        <v>15000</v>
      </c>
      <c r="EY136" s="106">
        <v>0</v>
      </c>
      <c r="EZ136" s="106"/>
      <c r="FA136" s="106"/>
      <c r="FB136" s="106"/>
      <c r="FC136" s="104">
        <f>FD136</f>
        <v>192730.51337999999</v>
      </c>
      <c r="FD136" s="104">
        <v>192730.51337999999</v>
      </c>
      <c r="FE136" s="104"/>
      <c r="FF136" s="104"/>
      <c r="FG136" s="104">
        <f>FH136+FJ136</f>
        <v>0</v>
      </c>
      <c r="FH136" s="104">
        <f>FP136-FD136</f>
        <v>0</v>
      </c>
      <c r="FI136" s="104"/>
      <c r="FJ136" s="104"/>
      <c r="FK136" s="104">
        <f>FL136</f>
        <v>0</v>
      </c>
      <c r="FL136" s="104"/>
      <c r="FM136" s="104"/>
      <c r="FN136" s="104"/>
      <c r="FO136" s="104">
        <f>FP136</f>
        <v>192730.51337999999</v>
      </c>
      <c r="FP136" s="104">
        <f>EH136+61380.51338</f>
        <v>192730.51337999999</v>
      </c>
      <c r="FQ136" s="104"/>
      <c r="FR136" s="104"/>
      <c r="FS136" s="629">
        <f t="shared" si="195"/>
        <v>66875.554239999998</v>
      </c>
      <c r="FT136" s="595">
        <f t="shared" si="241"/>
        <v>0.34698996576709062</v>
      </c>
      <c r="FU136" s="629">
        <v>66875.554239999998</v>
      </c>
      <c r="FV136" s="595">
        <f t="shared" si="242"/>
        <v>0.34698996576709062</v>
      </c>
      <c r="FW136" s="522"/>
      <c r="FX136" s="666"/>
      <c r="FY136" s="629"/>
      <c r="FZ136" s="666"/>
      <c r="GA136" s="629">
        <f t="shared" si="247"/>
        <v>71174.752699999997</v>
      </c>
      <c r="GB136" s="595">
        <f t="shared" si="248"/>
        <v>0.36929675250575</v>
      </c>
      <c r="GC136" s="629">
        <v>71174.752699999997</v>
      </c>
      <c r="GD136" s="595">
        <f t="shared" si="249"/>
        <v>0.36929675250575</v>
      </c>
      <c r="GE136" s="522"/>
      <c r="GF136" s="514"/>
      <c r="GG136" s="522"/>
      <c r="GH136" s="514"/>
      <c r="GI136" s="629">
        <f t="shared" si="243"/>
        <v>149936.97068</v>
      </c>
      <c r="GJ136" s="595">
        <f t="shared" si="244"/>
        <v>0.77796176666833516</v>
      </c>
      <c r="GK136" s="629">
        <v>149936.97068</v>
      </c>
      <c r="GL136" s="595">
        <f t="shared" si="245"/>
        <v>0.77796176666833516</v>
      </c>
      <c r="GM136" s="629">
        <f t="shared" ref="GM136:GM141" si="316">GM383+GM433</f>
        <v>0</v>
      </c>
      <c r="GN136" s="595">
        <v>0</v>
      </c>
      <c r="GO136" s="629">
        <f>GO383+GO433</f>
        <v>0</v>
      </c>
      <c r="GP136" s="595">
        <v>0</v>
      </c>
      <c r="GQ136" s="106"/>
      <c r="GR136" s="106"/>
      <c r="GS136" s="106"/>
      <c r="GT136" s="106"/>
      <c r="GU136" s="106">
        <f>GV136</f>
        <v>57500</v>
      </c>
      <c r="GV136" s="106">
        <v>57500</v>
      </c>
      <c r="GW136" s="106"/>
      <c r="GX136" s="106"/>
      <c r="GY136" s="106"/>
      <c r="GZ136" s="106"/>
      <c r="HA136" s="106"/>
      <c r="HB136" s="106"/>
      <c r="HC136" s="106"/>
      <c r="HD136" s="106"/>
      <c r="HE136" s="106"/>
      <c r="HF136" s="106"/>
      <c r="HG136" s="106">
        <f>HH136</f>
        <v>0</v>
      </c>
      <c r="HH136" s="181">
        <f>HP136-GV136</f>
        <v>0</v>
      </c>
      <c r="HI136" s="106"/>
      <c r="HJ136" s="106"/>
      <c r="HK136" s="106">
        <f>HL136</f>
        <v>0</v>
      </c>
      <c r="HL136" s="181">
        <f>IF136-GZ136</f>
        <v>0</v>
      </c>
      <c r="HM136" s="106"/>
      <c r="HN136" s="106"/>
      <c r="HO136" s="106">
        <f>HP136</f>
        <v>57500</v>
      </c>
      <c r="HP136" s="106">
        <v>57500</v>
      </c>
      <c r="HQ136" s="106"/>
      <c r="HR136" s="106"/>
      <c r="HS136" s="106">
        <f>HT136</f>
        <v>17500</v>
      </c>
      <c r="HT136" s="106">
        <v>17500</v>
      </c>
      <c r="HU136" s="106"/>
      <c r="HV136" s="106"/>
      <c r="HW136" s="106">
        <f>HX136</f>
        <v>0</v>
      </c>
      <c r="HX136" s="181">
        <f>IR136-HL136</f>
        <v>0</v>
      </c>
      <c r="HY136" s="106"/>
      <c r="HZ136" s="106"/>
      <c r="IA136" s="106">
        <f>IB136</f>
        <v>17500</v>
      </c>
      <c r="IB136" s="106">
        <f>HT136</f>
        <v>17500</v>
      </c>
      <c r="IC136" s="106"/>
      <c r="ID136" s="106"/>
      <c r="IE136" s="198" t="s">
        <v>189</v>
      </c>
      <c r="IF136" s="211"/>
      <c r="IG136" s="211"/>
      <c r="IH136" s="211"/>
    </row>
    <row r="137" spans="2:242" s="218" customFormat="1" ht="78" customHeight="1" x14ac:dyDescent="0.25">
      <c r="B137" s="131" t="s">
        <v>221</v>
      </c>
      <c r="C137" s="132" t="s">
        <v>222</v>
      </c>
      <c r="D137" s="133" t="s">
        <v>223</v>
      </c>
      <c r="E137" s="134">
        <f>F137+G137</f>
        <v>112693.5</v>
      </c>
      <c r="F137" s="134"/>
      <c r="G137" s="134">
        <v>112693.5</v>
      </c>
      <c r="H137" s="134">
        <f>I137+J137</f>
        <v>0</v>
      </c>
      <c r="I137" s="134"/>
      <c r="J137" s="134">
        <f>M137-G137</f>
        <v>0</v>
      </c>
      <c r="K137" s="134">
        <f>L137+M137</f>
        <v>112693.5</v>
      </c>
      <c r="L137" s="134"/>
      <c r="M137" s="134">
        <v>112693.5</v>
      </c>
      <c r="N137" s="134">
        <f>O137+P137</f>
        <v>40000</v>
      </c>
      <c r="O137" s="134"/>
      <c r="P137" s="134">
        <f>S137-M137</f>
        <v>40000</v>
      </c>
      <c r="Q137" s="136">
        <f>R137+S137</f>
        <v>152693.5</v>
      </c>
      <c r="R137" s="136"/>
      <c r="S137" s="136">
        <f>112693.5+40000</f>
        <v>152693.5</v>
      </c>
      <c r="T137" s="136">
        <f>U137+V137</f>
        <v>0</v>
      </c>
      <c r="U137" s="136"/>
      <c r="V137" s="136"/>
      <c r="W137" s="136">
        <f>X137+Y137</f>
        <v>172677.7</v>
      </c>
      <c r="X137" s="136"/>
      <c r="Y137" s="136">
        <f>AB137-V137</f>
        <v>172677.7</v>
      </c>
      <c r="Z137" s="136">
        <f>AA137+AB137</f>
        <v>172677.7</v>
      </c>
      <c r="AA137" s="136"/>
      <c r="AB137" s="136">
        <v>172677.7</v>
      </c>
      <c r="AC137" s="136">
        <f>AD137+AE137</f>
        <v>0</v>
      </c>
      <c r="AD137" s="136"/>
      <c r="AE137" s="136">
        <v>0</v>
      </c>
      <c r="AF137" s="136" t="e">
        <f>AG137+AH137</f>
        <v>#REF!</v>
      </c>
      <c r="AG137" s="136"/>
      <c r="AH137" s="136" t="e">
        <f>'[3]2017_с остатком на торги'!$AH$114</f>
        <v>#REF!</v>
      </c>
      <c r="AI137" s="136">
        <v>0</v>
      </c>
      <c r="AJ137" s="136">
        <v>0</v>
      </c>
      <c r="AK137" s="136">
        <f>Z137-AJ137</f>
        <v>172677.7</v>
      </c>
      <c r="AL137" s="136" t="e">
        <f>AF137-AJ137</f>
        <v>#REF!</v>
      </c>
      <c r="AM137" s="136" t="s">
        <v>224</v>
      </c>
      <c r="AN137" s="136" t="s">
        <v>225</v>
      </c>
      <c r="AO137" s="137">
        <v>1</v>
      </c>
      <c r="AP137" s="136"/>
      <c r="AQ137" s="136"/>
      <c r="AR137" s="136" t="e">
        <f>AF137-AP137</f>
        <v>#REF!</v>
      </c>
      <c r="AS137" s="136">
        <f>AT137+AU137</f>
        <v>100000</v>
      </c>
      <c r="AT137" s="136"/>
      <c r="AU137" s="136">
        <v>100000</v>
      </c>
      <c r="AV137" s="136">
        <f>AW137+AX137</f>
        <v>0</v>
      </c>
      <c r="AW137" s="136"/>
      <c r="AX137" s="136">
        <v>0</v>
      </c>
      <c r="AY137" s="136">
        <f>AZ137+BA137</f>
        <v>100000</v>
      </c>
      <c r="AZ137" s="136"/>
      <c r="BA137" s="136">
        <f>AU137</f>
        <v>100000</v>
      </c>
      <c r="BB137" s="136">
        <f>BC137+BD137</f>
        <v>100000</v>
      </c>
      <c r="BC137" s="136"/>
      <c r="BD137" s="136">
        <v>100000</v>
      </c>
      <c r="BE137" s="136">
        <f>BF137+BG137</f>
        <v>154943.94699999999</v>
      </c>
      <c r="BF137" s="136"/>
      <c r="BG137" s="136">
        <f>BJ137-BA137</f>
        <v>154943.94699999999</v>
      </c>
      <c r="BH137" s="136">
        <f>BI137+BJ137</f>
        <v>254943.94699999999</v>
      </c>
      <c r="BI137" s="136"/>
      <c r="BJ137" s="136">
        <v>254943.94699999999</v>
      </c>
      <c r="BK137" s="138">
        <v>1</v>
      </c>
      <c r="BL137" s="139">
        <f>AY137</f>
        <v>100000</v>
      </c>
      <c r="BM137" s="136"/>
      <c r="BN137" s="136"/>
      <c r="BO137" s="136"/>
      <c r="BP137" s="136"/>
      <c r="BQ137" s="136"/>
      <c r="BR137" s="136"/>
      <c r="BS137" s="136">
        <f>BT137+BU137</f>
        <v>254943.94699999999</v>
      </c>
      <c r="BT137" s="136"/>
      <c r="BU137" s="136">
        <f>BJ137-BO137</f>
        <v>254943.94699999999</v>
      </c>
      <c r="BV137" s="136">
        <f>BW137+BX137</f>
        <v>100000</v>
      </c>
      <c r="BW137" s="136"/>
      <c r="BX137" s="136">
        <v>100000</v>
      </c>
      <c r="BY137" s="136">
        <f>BZ137+CA137</f>
        <v>54591.253000000026</v>
      </c>
      <c r="BZ137" s="136"/>
      <c r="CA137" s="136">
        <f>CD137-BJ137</f>
        <v>54591.253000000026</v>
      </c>
      <c r="CB137" s="136">
        <f t="shared" si="305"/>
        <v>309535.2</v>
      </c>
      <c r="CC137" s="136"/>
      <c r="CD137" s="136">
        <f>CD138+CD142+CD150+CD152+CD162+CD166+CD168</f>
        <v>309535.2</v>
      </c>
      <c r="CE137" s="139" t="e">
        <f t="shared" ref="CE137:CS137" si="317">SUM(CE139:CE169)</f>
        <v>#REF!</v>
      </c>
      <c r="CF137" s="139" t="e">
        <f t="shared" si="317"/>
        <v>#REF!</v>
      </c>
      <c r="CG137" s="136" t="e">
        <f t="shared" si="317"/>
        <v>#REF!</v>
      </c>
      <c r="CH137" s="136" t="e">
        <f t="shared" si="317"/>
        <v>#REF!</v>
      </c>
      <c r="CI137" s="136" t="e">
        <f t="shared" si="317"/>
        <v>#REF!</v>
      </c>
      <c r="CJ137" s="136" t="e">
        <f t="shared" si="317"/>
        <v>#REF!</v>
      </c>
      <c r="CK137" s="136" t="e">
        <f t="shared" si="317"/>
        <v>#REF!</v>
      </c>
      <c r="CL137" s="136" t="e">
        <f t="shared" si="317"/>
        <v>#REF!</v>
      </c>
      <c r="CM137" s="136" t="e">
        <f t="shared" si="317"/>
        <v>#REF!</v>
      </c>
      <c r="CN137" s="136" t="e">
        <f t="shared" si="317"/>
        <v>#REF!</v>
      </c>
      <c r="CO137" s="136" t="e">
        <f t="shared" si="317"/>
        <v>#REF!</v>
      </c>
      <c r="CP137" s="136" t="e">
        <f t="shared" si="317"/>
        <v>#REF!</v>
      </c>
      <c r="CQ137" s="136" t="e">
        <f t="shared" si="317"/>
        <v>#REF!</v>
      </c>
      <c r="CR137" s="136" t="e">
        <f t="shared" si="317"/>
        <v>#REF!</v>
      </c>
      <c r="CS137" s="136" t="e">
        <f t="shared" si="317"/>
        <v>#REF!</v>
      </c>
      <c r="CT137" s="136">
        <f>CU137+CV137</f>
        <v>45878.74</v>
      </c>
      <c r="CU137" s="136">
        <f>SUM(CU139:CU169)</f>
        <v>0</v>
      </c>
      <c r="CV137" s="136">
        <f>CV138+CV142+CV150+CV152+CV162+CV166+CV168</f>
        <v>45878.74</v>
      </c>
      <c r="CW137" s="136">
        <f t="shared" si="306"/>
        <v>182776.424</v>
      </c>
      <c r="CX137" s="136"/>
      <c r="CY137" s="136">
        <f>CY138+CY142+CY150+CY152+CY162+CY166+CY168+CY174</f>
        <v>182776.424</v>
      </c>
      <c r="CZ137" s="136">
        <f t="shared" si="307"/>
        <v>184000</v>
      </c>
      <c r="DA137" s="136"/>
      <c r="DB137" s="136">
        <f>DB138+DB142+DB150+DB152+DB162+DB166+DB168</f>
        <v>184000</v>
      </c>
      <c r="DC137" s="136">
        <f>DD137+DE137</f>
        <v>0</v>
      </c>
      <c r="DD137" s="136"/>
      <c r="DE137" s="136">
        <f>DE138+DE142+DE150+DE152+DE162+DE166+DE168</f>
        <v>0</v>
      </c>
      <c r="DF137" s="136">
        <f t="shared" si="308"/>
        <v>0</v>
      </c>
      <c r="DG137" s="136"/>
      <c r="DH137" s="136">
        <f>DH138+DH142+DH150+DH152+DH162+DH166+DH168+DH174</f>
        <v>0</v>
      </c>
      <c r="DI137" s="136">
        <f t="shared" si="283"/>
        <v>182776.424</v>
      </c>
      <c r="DJ137" s="136"/>
      <c r="DK137" s="136">
        <f>DK138+DK142+DK150+DK152+DK162+DK166+DK168+DK174</f>
        <v>182776.424</v>
      </c>
      <c r="DL137" s="136">
        <f t="shared" si="309"/>
        <v>80543.645000000004</v>
      </c>
      <c r="DM137" s="136"/>
      <c r="DN137" s="136">
        <f>DN138+DN142+DN150+DN152+DN162+DN166+DN168</f>
        <v>80543.645000000004</v>
      </c>
      <c r="DO137" s="136">
        <f t="shared" si="310"/>
        <v>0</v>
      </c>
      <c r="DP137" s="136"/>
      <c r="DQ137" s="136">
        <f>DQ138+DQ142+DQ150+DQ152+DQ162+DQ166+DQ168</f>
        <v>0</v>
      </c>
      <c r="DR137" s="136">
        <f t="shared" si="311"/>
        <v>96686.478999999992</v>
      </c>
      <c r="DS137" s="136"/>
      <c r="DT137" s="136">
        <f>DT138+DT142+DT150+DT152+DT162+DT166+DT168</f>
        <v>96686.478999999992</v>
      </c>
      <c r="DU137" s="136">
        <f t="shared" si="312"/>
        <v>184000</v>
      </c>
      <c r="DV137" s="136"/>
      <c r="DW137" s="136">
        <f>DW138+DW142+DW150+DW152+DW162+DW166+DW168+DW174</f>
        <v>184000</v>
      </c>
      <c r="DX137" s="136">
        <f t="shared" si="313"/>
        <v>110250</v>
      </c>
      <c r="DY137" s="136"/>
      <c r="DZ137" s="136">
        <f>DZ138+DZ142+DZ150+DZ152+DZ162+DZ166+DZ168</f>
        <v>110250</v>
      </c>
      <c r="EA137" s="136"/>
      <c r="EB137" s="136"/>
      <c r="EC137" s="136"/>
      <c r="ED137" s="136">
        <f>EE137+EF137</f>
        <v>-126486.06200000001</v>
      </c>
      <c r="EE137" s="136"/>
      <c r="EF137" s="136">
        <f>EF138+EF142+EF150+EF152+EF162+EF166+EF168+EF174</f>
        <v>-126486.06200000001</v>
      </c>
      <c r="EG137" s="136">
        <f t="shared" ref="EG137:EG170" si="318">EH137+EJ137</f>
        <v>259055.38800000004</v>
      </c>
      <c r="EH137" s="136"/>
      <c r="EI137" s="136"/>
      <c r="EJ137" s="134">
        <f>EJ138+EJ142+EJ150+EJ152+EJ158+EJ162+EJ168+EJ172</f>
        <v>259055.38800000004</v>
      </c>
      <c r="EK137" s="136">
        <f t="shared" ref="EK137:EK164" si="319">EL137+EN137</f>
        <v>0</v>
      </c>
      <c r="EL137" s="136"/>
      <c r="EM137" s="136"/>
      <c r="EN137" s="136">
        <f>EN138+EN142+EN150+EN152+EN158+EN162+EN166+EN168+EN170+EN172+EN174</f>
        <v>0</v>
      </c>
      <c r="EO137" s="136" t="e">
        <f>EP137+ER137</f>
        <v>#REF!</v>
      </c>
      <c r="EP137" s="136"/>
      <c r="EQ137" s="136"/>
      <c r="ER137" s="136" t="e">
        <f>ER138+ER142+ER152+ER158+ER162+ER168+ER170+ER172+ER174</f>
        <v>#REF!</v>
      </c>
      <c r="ES137" s="136">
        <f t="shared" si="314"/>
        <v>-10112.633</v>
      </c>
      <c r="ET137" s="136"/>
      <c r="EU137" s="136"/>
      <c r="EV137" s="136">
        <f>EV138+EV142+EV150+EV152+EV158+EV162+EV168+EV172</f>
        <v>-10112.633</v>
      </c>
      <c r="EW137" s="136">
        <f t="shared" si="315"/>
        <v>110250</v>
      </c>
      <c r="EX137" s="136"/>
      <c r="EY137" s="136">
        <f>EY138+EY142+EY150+EY152+EY162+EY166+EY168+EY174</f>
        <v>110250</v>
      </c>
      <c r="EZ137" s="136">
        <f>FA137+FB137</f>
        <v>0</v>
      </c>
      <c r="FA137" s="136"/>
      <c r="FB137" s="136">
        <f>FB138+FB142+FB150+FB152+FB162+FB166+FB168</f>
        <v>0</v>
      </c>
      <c r="FC137" s="134">
        <f t="shared" ref="FC137:FC170" si="320">FD137+FF137</f>
        <v>316666.93717999995</v>
      </c>
      <c r="FD137" s="134"/>
      <c r="FE137" s="134"/>
      <c r="FF137" s="134">
        <f>SUM(FF138+FF142+FF152+FF158+FF162+FF166+FF172)</f>
        <v>316666.93717999995</v>
      </c>
      <c r="FG137" s="134">
        <f>FH137+FJ137</f>
        <v>64356.747620000002</v>
      </c>
      <c r="FH137" s="134"/>
      <c r="FI137" s="134"/>
      <c r="FJ137" s="134">
        <f>FJ138+FJ142+FJ150+FJ152+FJ162+FJ166+FJ168+FJ158+FJ172</f>
        <v>64356.747620000002</v>
      </c>
      <c r="FK137" s="134">
        <f>FL137+FN137</f>
        <v>-40826.822620000006</v>
      </c>
      <c r="FL137" s="134"/>
      <c r="FM137" s="134"/>
      <c r="FN137" s="134">
        <f>FN138+FN142+FN152+FN158+FN162+FN168+FN170+FN172+FN174</f>
        <v>-40826.822620000006</v>
      </c>
      <c r="FO137" s="134">
        <f t="shared" ref="FO137:FO170" si="321">FP137+FR137</f>
        <v>310317.79716000002</v>
      </c>
      <c r="FP137" s="134"/>
      <c r="FQ137" s="134"/>
      <c r="FR137" s="134">
        <f>FR138+FR142+FR150+FR152+FR162+FR166+FR168+FR158+FR172</f>
        <v>310317.79716000002</v>
      </c>
      <c r="FS137" s="134">
        <f t="shared" si="195"/>
        <v>46094.921329999997</v>
      </c>
      <c r="FT137" s="486">
        <f t="shared" si="241"/>
        <v>0.14556278511576567</v>
      </c>
      <c r="FU137" s="84">
        <v>0</v>
      </c>
      <c r="FV137" s="486">
        <v>0</v>
      </c>
      <c r="FW137" s="62">
        <f>FW384+FW434</f>
        <v>0</v>
      </c>
      <c r="FX137" s="661">
        <v>0</v>
      </c>
      <c r="FY137" s="84">
        <f>SUM(FY138+FY142+FY152+FY158+FY162+FY166+FY172)</f>
        <v>46094.921329999997</v>
      </c>
      <c r="FZ137" s="486">
        <f t="shared" ref="FZ137:FZ167" si="322">FY137/FF137</f>
        <v>0.14556278511576567</v>
      </c>
      <c r="GA137" s="84">
        <f t="shared" si="247"/>
        <v>46094.921329999997</v>
      </c>
      <c r="GB137" s="486">
        <f t="shared" si="248"/>
        <v>0.14556278511576567</v>
      </c>
      <c r="GC137" s="84"/>
      <c r="GD137" s="486"/>
      <c r="GE137" s="62"/>
      <c r="GF137" s="552"/>
      <c r="GG137" s="84">
        <f>SUM(GG138+GG142+GG152+GG158+GG162+GG166+GG172)</f>
        <v>46094.921329999997</v>
      </c>
      <c r="GH137" s="486">
        <f t="shared" ref="GH137:GH167" si="323">GG137/FF137</f>
        <v>0.14556278511576567</v>
      </c>
      <c r="GI137" s="84">
        <f t="shared" si="243"/>
        <v>315896.63902</v>
      </c>
      <c r="GJ137" s="486">
        <f t="shared" si="244"/>
        <v>0.99756748157272224</v>
      </c>
      <c r="GK137" s="84">
        <f>GK384+GK434</f>
        <v>0</v>
      </c>
      <c r="GL137" s="486">
        <v>0</v>
      </c>
      <c r="GM137" s="84">
        <f t="shared" si="316"/>
        <v>0</v>
      </c>
      <c r="GN137" s="486">
        <v>0</v>
      </c>
      <c r="GO137" s="84">
        <f>SUM(GO138+GO142+GO152+GO158+GO162+GO166+GO172)</f>
        <v>315896.63902</v>
      </c>
      <c r="GP137" s="486">
        <f t="shared" si="294"/>
        <v>0.99756748157272224</v>
      </c>
      <c r="GQ137" s="134"/>
      <c r="GR137" s="134"/>
      <c r="GS137" s="134"/>
      <c r="GT137" s="134"/>
      <c r="GU137" s="136">
        <f t="shared" ref="GU137:GU170" si="324">GV137+GX137</f>
        <v>332288.34700000001</v>
      </c>
      <c r="GV137" s="136"/>
      <c r="GW137" s="136"/>
      <c r="GX137" s="134">
        <f>GX138+GX142+GX150+GX152+GX162+GX166+GX168+GX158+GX172</f>
        <v>332288.34700000001</v>
      </c>
      <c r="GY137" s="136"/>
      <c r="GZ137" s="136"/>
      <c r="HA137" s="136"/>
      <c r="HB137" s="136"/>
      <c r="HC137" s="136"/>
      <c r="HD137" s="136"/>
      <c r="HE137" s="136"/>
      <c r="HF137" s="136"/>
      <c r="HG137" s="134">
        <f>HH137+HJ137</f>
        <v>77905.531750000009</v>
      </c>
      <c r="HH137" s="136"/>
      <c r="HI137" s="136"/>
      <c r="HJ137" s="134">
        <f>HJ138+HJ142+HJ150+HJ152+HJ162+HJ166+HJ168+HJ158+HJ172</f>
        <v>77905.531750000009</v>
      </c>
      <c r="HK137" s="136">
        <f>HL137+HN137</f>
        <v>0</v>
      </c>
      <c r="HL137" s="136"/>
      <c r="HM137" s="136"/>
      <c r="HN137" s="136">
        <f>HN138+HN142+HN150+HN152+HN158+HN162+HN168+HN172+HN174</f>
        <v>0</v>
      </c>
      <c r="HO137" s="136">
        <f>HP137+HR137</f>
        <v>410193.87875000003</v>
      </c>
      <c r="HP137" s="136"/>
      <c r="HQ137" s="136"/>
      <c r="HR137" s="134">
        <f>HR138+HR142+HR150+HR152+HR162+HR166+HR168+HR158+HR172</f>
        <v>410193.87875000003</v>
      </c>
      <c r="HS137" s="136">
        <f>HT137+HV137</f>
        <v>91993.9</v>
      </c>
      <c r="HT137" s="136"/>
      <c r="HU137" s="136"/>
      <c r="HV137" s="134">
        <f>HV138+HV142+HV150+HV152+HV162+HV166+HV168+HV158+HV172</f>
        <v>91993.9</v>
      </c>
      <c r="HW137" s="136">
        <f>HX137+HZ137</f>
        <v>59671.516710000004</v>
      </c>
      <c r="HX137" s="136"/>
      <c r="HY137" s="136"/>
      <c r="HZ137" s="136">
        <f>HZ138+HZ142+HZ150+HZ152+HZ158+HZ162+HZ168+HZ172</f>
        <v>59671.516710000004</v>
      </c>
      <c r="IA137" s="136">
        <f>IB137+ID137</f>
        <v>151665.41670999999</v>
      </c>
      <c r="IB137" s="136"/>
      <c r="IC137" s="136"/>
      <c r="ID137" s="134">
        <f>ID138+ID142+ID150+ID152+ID162+ID166+ID168+ID158+ID172</f>
        <v>151665.41670999999</v>
      </c>
      <c r="IE137" s="556"/>
      <c r="IF137" s="217"/>
      <c r="IG137" s="217"/>
      <c r="IH137" s="217"/>
    </row>
    <row r="138" spans="2:242" s="202" customFormat="1" ht="36.75" customHeight="1" x14ac:dyDescent="0.25">
      <c r="B138" s="100" t="s">
        <v>226</v>
      </c>
      <c r="C138" s="479" t="s">
        <v>227</v>
      </c>
      <c r="D138" s="102"/>
      <c r="E138" s="103"/>
      <c r="F138" s="103"/>
      <c r="G138" s="103"/>
      <c r="H138" s="103"/>
      <c r="I138" s="103"/>
      <c r="J138" s="103"/>
      <c r="K138" s="103"/>
      <c r="L138" s="103"/>
      <c r="M138" s="103"/>
      <c r="N138" s="103"/>
      <c r="O138" s="103"/>
      <c r="P138" s="103"/>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6"/>
      <c r="AL138" s="106"/>
      <c r="AM138" s="111"/>
      <c r="AN138" s="111"/>
      <c r="AO138" s="109"/>
      <c r="AP138" s="105"/>
      <c r="AQ138" s="105"/>
      <c r="AR138" s="106"/>
      <c r="AS138" s="105"/>
      <c r="AT138" s="105"/>
      <c r="AU138" s="105"/>
      <c r="AV138" s="105"/>
      <c r="AW138" s="105"/>
      <c r="AX138" s="105"/>
      <c r="AY138" s="105"/>
      <c r="AZ138" s="105"/>
      <c r="BA138" s="105"/>
      <c r="BB138" s="105"/>
      <c r="BC138" s="105"/>
      <c r="BD138" s="105"/>
      <c r="BE138" s="105"/>
      <c r="BF138" s="105"/>
      <c r="BG138" s="105"/>
      <c r="BH138" s="105"/>
      <c r="BI138" s="105"/>
      <c r="BJ138" s="105"/>
      <c r="BK138" s="110"/>
      <c r="BL138" s="106"/>
      <c r="BM138" s="106"/>
      <c r="BN138" s="106"/>
      <c r="BO138" s="106"/>
      <c r="BP138" s="106"/>
      <c r="BQ138" s="106"/>
      <c r="BR138" s="106"/>
      <c r="BS138" s="106"/>
      <c r="BT138" s="106"/>
      <c r="BU138" s="106"/>
      <c r="BV138" s="105"/>
      <c r="BW138" s="105"/>
      <c r="BX138" s="105"/>
      <c r="BY138" s="105"/>
      <c r="BZ138" s="105"/>
      <c r="CA138" s="105"/>
      <c r="CB138" s="105">
        <f t="shared" si="305"/>
        <v>70154.909</v>
      </c>
      <c r="CC138" s="105">
        <f t="shared" ref="CC138:CV138" si="325">CC139+CC140</f>
        <v>0</v>
      </c>
      <c r="CD138" s="105">
        <f t="shared" si="325"/>
        <v>70154.909</v>
      </c>
      <c r="CE138" s="105">
        <f t="shared" si="325"/>
        <v>0</v>
      </c>
      <c r="CF138" s="105">
        <f t="shared" si="325"/>
        <v>0</v>
      </c>
      <c r="CG138" s="105">
        <f t="shared" si="325"/>
        <v>0</v>
      </c>
      <c r="CH138" s="105">
        <f t="shared" si="325"/>
        <v>0</v>
      </c>
      <c r="CI138" s="105">
        <f t="shared" si="325"/>
        <v>0</v>
      </c>
      <c r="CJ138" s="105">
        <f t="shared" si="325"/>
        <v>0</v>
      </c>
      <c r="CK138" s="105">
        <f t="shared" si="325"/>
        <v>0</v>
      </c>
      <c r="CL138" s="105">
        <f t="shared" si="325"/>
        <v>0</v>
      </c>
      <c r="CM138" s="105">
        <f t="shared" si="325"/>
        <v>0</v>
      </c>
      <c r="CN138" s="105">
        <f t="shared" si="325"/>
        <v>0</v>
      </c>
      <c r="CO138" s="105">
        <f t="shared" si="325"/>
        <v>0</v>
      </c>
      <c r="CP138" s="105">
        <f t="shared" si="325"/>
        <v>0</v>
      </c>
      <c r="CQ138" s="105">
        <f t="shared" si="325"/>
        <v>0</v>
      </c>
      <c r="CR138" s="105">
        <f t="shared" si="325"/>
        <v>0</v>
      </c>
      <c r="CS138" s="105">
        <f t="shared" si="325"/>
        <v>0</v>
      </c>
      <c r="CT138" s="105">
        <f t="shared" si="325"/>
        <v>0</v>
      </c>
      <c r="CU138" s="105">
        <f t="shared" si="325"/>
        <v>0</v>
      </c>
      <c r="CV138" s="105">
        <f t="shared" si="325"/>
        <v>0</v>
      </c>
      <c r="CW138" s="105">
        <f t="shared" si="306"/>
        <v>41652.239000000001</v>
      </c>
      <c r="CX138" s="105">
        <f>CX139+CX140</f>
        <v>0</v>
      </c>
      <c r="CY138" s="105">
        <f>CY139+CY140</f>
        <v>41652.239000000001</v>
      </c>
      <c r="CZ138" s="105">
        <f t="shared" si="307"/>
        <v>0</v>
      </c>
      <c r="DA138" s="105">
        <f>DA139+DA140</f>
        <v>0</v>
      </c>
      <c r="DB138" s="105">
        <f>DB139+DB140</f>
        <v>0</v>
      </c>
      <c r="DC138" s="105"/>
      <c r="DD138" s="105"/>
      <c r="DE138" s="105"/>
      <c r="DF138" s="105">
        <f t="shared" si="308"/>
        <v>0</v>
      </c>
      <c r="DG138" s="105">
        <f>DG139+DG140</f>
        <v>0</v>
      </c>
      <c r="DH138" s="105">
        <f>DH139+DH140</f>
        <v>0</v>
      </c>
      <c r="DI138" s="105">
        <f t="shared" si="283"/>
        <v>41652.239000000001</v>
      </c>
      <c r="DJ138" s="105">
        <f>DJ139+DJ140</f>
        <v>0</v>
      </c>
      <c r="DK138" s="105">
        <f>DK139+DK140</f>
        <v>41652.239000000001</v>
      </c>
      <c r="DL138" s="105">
        <f t="shared" si="309"/>
        <v>0</v>
      </c>
      <c r="DM138" s="105">
        <f>DM139+DM140</f>
        <v>0</v>
      </c>
      <c r="DN138" s="105">
        <f>DN139+DN140</f>
        <v>0</v>
      </c>
      <c r="DO138" s="105">
        <f t="shared" si="310"/>
        <v>0</v>
      </c>
      <c r="DP138" s="105">
        <f>DP139+DP140</f>
        <v>0</v>
      </c>
      <c r="DQ138" s="105">
        <f>DQ139+DQ140</f>
        <v>0</v>
      </c>
      <c r="DR138" s="105">
        <f t="shared" si="311"/>
        <v>41652.239000000001</v>
      </c>
      <c r="DS138" s="105">
        <f>DS139+DS140</f>
        <v>0</v>
      </c>
      <c r="DT138" s="105">
        <f>DT139+DT140</f>
        <v>41652.239000000001</v>
      </c>
      <c r="DU138" s="105">
        <f t="shared" si="312"/>
        <v>0</v>
      </c>
      <c r="DV138" s="105">
        <f>DV139+DV140</f>
        <v>0</v>
      </c>
      <c r="DW138" s="105">
        <f>DW139+DW140</f>
        <v>0</v>
      </c>
      <c r="DX138" s="105">
        <f t="shared" si="313"/>
        <v>7114.1279999999997</v>
      </c>
      <c r="DY138" s="105">
        <f>DY139+DY140</f>
        <v>0</v>
      </c>
      <c r="DZ138" s="105">
        <f>DZ139+DZ140</f>
        <v>7114.1279999999997</v>
      </c>
      <c r="EA138" s="105"/>
      <c r="EB138" s="105"/>
      <c r="EC138" s="105"/>
      <c r="ED138" s="105"/>
      <c r="EE138" s="105"/>
      <c r="EF138" s="105"/>
      <c r="EG138" s="105">
        <f t="shared" si="318"/>
        <v>6889.42</v>
      </c>
      <c r="EH138" s="105"/>
      <c r="EI138" s="105"/>
      <c r="EJ138" s="105">
        <f>EJ140+EJ141</f>
        <v>6889.42</v>
      </c>
      <c r="EK138" s="105">
        <f t="shared" si="319"/>
        <v>0</v>
      </c>
      <c r="EL138" s="105">
        <f>EL139+EL140</f>
        <v>0</v>
      </c>
      <c r="EM138" s="105"/>
      <c r="EN138" s="105">
        <f>EN139+EN140</f>
        <v>0</v>
      </c>
      <c r="EO138" s="105">
        <f>EP138+ER138</f>
        <v>0</v>
      </c>
      <c r="EP138" s="105">
        <f>EP139+EP140</f>
        <v>0</v>
      </c>
      <c r="EQ138" s="105"/>
      <c r="ER138" s="105">
        <f>ER139+ER140</f>
        <v>0</v>
      </c>
      <c r="ES138" s="105">
        <f t="shared" si="314"/>
        <v>0</v>
      </c>
      <c r="ET138" s="106">
        <f>ET139+ET140</f>
        <v>0</v>
      </c>
      <c r="EU138" s="106"/>
      <c r="EV138" s="105">
        <f>EV140+EV141</f>
        <v>0</v>
      </c>
      <c r="EW138" s="105">
        <f t="shared" si="315"/>
        <v>7114.1279999999997</v>
      </c>
      <c r="EX138" s="105">
        <f>EX139+EX140</f>
        <v>0</v>
      </c>
      <c r="EY138" s="105">
        <f>EY139+EY140</f>
        <v>7114.1279999999997</v>
      </c>
      <c r="EZ138" s="105"/>
      <c r="FA138" s="105"/>
      <c r="FB138" s="105"/>
      <c r="FC138" s="103">
        <f t="shared" si="320"/>
        <v>16176.668470000001</v>
      </c>
      <c r="FD138" s="103"/>
      <c r="FE138" s="103"/>
      <c r="FF138" s="103">
        <f>SUM(FF139:FF141)</f>
        <v>16176.668470000001</v>
      </c>
      <c r="FG138" s="103">
        <f>FH138+FJ138</f>
        <v>0</v>
      </c>
      <c r="FH138" s="103">
        <f>FH139+FH140</f>
        <v>0</v>
      </c>
      <c r="FI138" s="103"/>
      <c r="FJ138" s="103">
        <f>FJ139+FJ140</f>
        <v>0</v>
      </c>
      <c r="FK138" s="103">
        <f>FL138+FN138</f>
        <v>0</v>
      </c>
      <c r="FL138" s="103">
        <f>FL139+FL140</f>
        <v>0</v>
      </c>
      <c r="FM138" s="103"/>
      <c r="FN138" s="103">
        <f>FN139+FN140</f>
        <v>0</v>
      </c>
      <c r="FO138" s="103">
        <f t="shared" si="321"/>
        <v>16176.668470000001</v>
      </c>
      <c r="FP138" s="103"/>
      <c r="FQ138" s="103"/>
      <c r="FR138" s="103">
        <f>SUM(FR139:FR141)</f>
        <v>16176.668470000001</v>
      </c>
      <c r="FS138" s="629">
        <f t="shared" si="195"/>
        <v>8106.7365900000004</v>
      </c>
      <c r="FT138" s="595">
        <f t="shared" si="241"/>
        <v>0.50113758621153226</v>
      </c>
      <c r="FU138" s="629">
        <v>0</v>
      </c>
      <c r="FV138" s="595">
        <v>0</v>
      </c>
      <c r="FW138" s="522">
        <f>FW385+FW435</f>
        <v>0</v>
      </c>
      <c r="FX138" s="666">
        <v>0</v>
      </c>
      <c r="FY138" s="629">
        <f>FY139+FY140</f>
        <v>8106.7365900000004</v>
      </c>
      <c r="FZ138" s="595">
        <f t="shared" si="322"/>
        <v>0.50113758621153226</v>
      </c>
      <c r="GA138" s="629">
        <f t="shared" si="247"/>
        <v>8106.7365900000004</v>
      </c>
      <c r="GB138" s="595">
        <f t="shared" si="248"/>
        <v>0.50113758621153226</v>
      </c>
      <c r="GC138" s="629"/>
      <c r="GD138" s="595"/>
      <c r="GE138" s="522"/>
      <c r="GF138" s="514"/>
      <c r="GG138" s="522">
        <f>GG139+GG140</f>
        <v>8106.7365900000004</v>
      </c>
      <c r="GH138" s="595">
        <f t="shared" si="323"/>
        <v>0.50113758621153226</v>
      </c>
      <c r="GI138" s="629">
        <f t="shared" si="243"/>
        <v>16176.668470000001</v>
      </c>
      <c r="GJ138" s="595">
        <f t="shared" si="244"/>
        <v>1</v>
      </c>
      <c r="GK138" s="629">
        <f>GK385+GK435</f>
        <v>0</v>
      </c>
      <c r="GL138" s="595">
        <v>0</v>
      </c>
      <c r="GM138" s="629">
        <f t="shared" si="316"/>
        <v>0</v>
      </c>
      <c r="GN138" s="595">
        <v>0</v>
      </c>
      <c r="GO138" s="629">
        <f>SUM(GO139:GO140)</f>
        <v>16176.668470000001</v>
      </c>
      <c r="GP138" s="595">
        <f t="shared" si="294"/>
        <v>1</v>
      </c>
      <c r="GQ138" s="105"/>
      <c r="GR138" s="105"/>
      <c r="GS138" s="105"/>
      <c r="GT138" s="105"/>
      <c r="GU138" s="105">
        <f>GV138+GW138+GX138</f>
        <v>6440</v>
      </c>
      <c r="GV138" s="105"/>
      <c r="GW138" s="105"/>
      <c r="GX138" s="105">
        <f>GX139+GX140+GX141</f>
        <v>6440</v>
      </c>
      <c r="GY138" s="105"/>
      <c r="GZ138" s="105"/>
      <c r="HA138" s="105"/>
      <c r="HB138" s="105"/>
      <c r="HC138" s="105"/>
      <c r="HD138" s="105"/>
      <c r="HE138" s="105"/>
      <c r="HF138" s="105"/>
      <c r="HG138" s="105">
        <f>HG140+HG141</f>
        <v>0</v>
      </c>
      <c r="HH138" s="105"/>
      <c r="HI138" s="105"/>
      <c r="HJ138" s="105">
        <f>HJ139+HJ140+HJ141</f>
        <v>0</v>
      </c>
      <c r="HK138" s="105">
        <f>HL138</f>
        <v>0</v>
      </c>
      <c r="HL138" s="105"/>
      <c r="HM138" s="105"/>
      <c r="HN138" s="105">
        <f>HN139+HN140+HN141</f>
        <v>0</v>
      </c>
      <c r="HO138" s="105">
        <f>HP138+HQ138+HR138</f>
        <v>6440</v>
      </c>
      <c r="HP138" s="105"/>
      <c r="HQ138" s="105"/>
      <c r="HR138" s="105">
        <f>HR139+HR140+HR141</f>
        <v>6440</v>
      </c>
      <c r="HS138" s="105">
        <f>HT138+HU138+HV138</f>
        <v>0</v>
      </c>
      <c r="HT138" s="105"/>
      <c r="HU138" s="105"/>
      <c r="HV138" s="105">
        <f>HV139+HV140+HV141</f>
        <v>0</v>
      </c>
      <c r="HW138" s="105">
        <f>HX138</f>
        <v>0</v>
      </c>
      <c r="HX138" s="105"/>
      <c r="HY138" s="105"/>
      <c r="HZ138" s="105">
        <f>HZ139+HZ140+HZ141</f>
        <v>0</v>
      </c>
      <c r="IA138" s="105">
        <f>IB138+IC138+ID138</f>
        <v>0</v>
      </c>
      <c r="IB138" s="105"/>
      <c r="IC138" s="105"/>
      <c r="ID138" s="105">
        <f>ID139+ID140+ID141</f>
        <v>0</v>
      </c>
      <c r="IE138" s="216"/>
      <c r="IF138" s="141"/>
      <c r="IG138" s="141"/>
      <c r="IH138" s="141"/>
    </row>
    <row r="139" spans="2:242" s="225" customFormat="1" ht="75.75" customHeight="1" x14ac:dyDescent="0.2">
      <c r="B139" s="186" t="s">
        <v>134</v>
      </c>
      <c r="C139" s="221" t="s">
        <v>494</v>
      </c>
      <c r="D139" s="222"/>
      <c r="E139" s="143"/>
      <c r="F139" s="143"/>
      <c r="G139" s="143"/>
      <c r="H139" s="143"/>
      <c r="I139" s="143"/>
      <c r="J139" s="143"/>
      <c r="K139" s="143"/>
      <c r="L139" s="143"/>
      <c r="M139" s="143"/>
      <c r="N139" s="143"/>
      <c r="O139" s="143"/>
      <c r="P139" s="143"/>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68"/>
      <c r="AL139" s="168"/>
      <c r="AM139" s="223"/>
      <c r="AN139" s="223"/>
      <c r="AO139" s="166"/>
      <c r="AP139" s="144"/>
      <c r="AQ139" s="144"/>
      <c r="AR139" s="168"/>
      <c r="AS139" s="144"/>
      <c r="AT139" s="144"/>
      <c r="AU139" s="144"/>
      <c r="AV139" s="144"/>
      <c r="AW139" s="144"/>
      <c r="AX139" s="144"/>
      <c r="AY139" s="144"/>
      <c r="AZ139" s="144"/>
      <c r="BA139" s="144"/>
      <c r="BB139" s="144"/>
      <c r="BC139" s="144"/>
      <c r="BD139" s="144"/>
      <c r="BE139" s="144"/>
      <c r="BF139" s="144"/>
      <c r="BG139" s="144"/>
      <c r="BH139" s="144"/>
      <c r="BI139" s="144"/>
      <c r="BJ139" s="144"/>
      <c r="BK139" s="167"/>
      <c r="BL139" s="168"/>
      <c r="BM139" s="168"/>
      <c r="BN139" s="168"/>
      <c r="BO139" s="168"/>
      <c r="BP139" s="168"/>
      <c r="BQ139" s="168"/>
      <c r="BR139" s="168"/>
      <c r="BS139" s="168"/>
      <c r="BT139" s="168"/>
      <c r="BU139" s="168"/>
      <c r="BV139" s="144"/>
      <c r="BW139" s="144"/>
      <c r="BX139" s="144"/>
      <c r="BY139" s="144"/>
      <c r="BZ139" s="144"/>
      <c r="CA139" s="144"/>
      <c r="CB139" s="144">
        <f t="shared" si="305"/>
        <v>70154.909</v>
      </c>
      <c r="CC139" s="144"/>
      <c r="CD139" s="144">
        <f>15563.6+54591.253+0.056</f>
        <v>70154.909</v>
      </c>
      <c r="CE139" s="168"/>
      <c r="CF139" s="168"/>
      <c r="CG139" s="144"/>
      <c r="CH139" s="144"/>
      <c r="CI139" s="144"/>
      <c r="CJ139" s="144"/>
      <c r="CK139" s="144"/>
      <c r="CL139" s="144"/>
      <c r="CM139" s="144"/>
      <c r="CN139" s="144"/>
      <c r="CO139" s="144"/>
      <c r="CP139" s="144"/>
      <c r="CQ139" s="144"/>
      <c r="CR139" s="144"/>
      <c r="CS139" s="144"/>
      <c r="CT139" s="144"/>
      <c r="CU139" s="144"/>
      <c r="CV139" s="144"/>
      <c r="CW139" s="144">
        <f t="shared" si="306"/>
        <v>41652.239000000001</v>
      </c>
      <c r="CX139" s="144"/>
      <c r="CY139" s="144">
        <v>41652.239000000001</v>
      </c>
      <c r="CZ139" s="144">
        <f t="shared" si="307"/>
        <v>0</v>
      </c>
      <c r="DA139" s="144"/>
      <c r="DB139" s="144"/>
      <c r="DC139" s="144"/>
      <c r="DD139" s="144"/>
      <c r="DE139" s="144"/>
      <c r="DF139" s="144">
        <f t="shared" si="308"/>
        <v>0</v>
      </c>
      <c r="DG139" s="144"/>
      <c r="DH139" s="144">
        <f>DK139-CY139</f>
        <v>0</v>
      </c>
      <c r="DI139" s="144">
        <f t="shared" si="283"/>
        <v>41652.239000000001</v>
      </c>
      <c r="DJ139" s="144"/>
      <c r="DK139" s="144">
        <f>41652.239</f>
        <v>41652.239000000001</v>
      </c>
      <c r="DL139" s="144">
        <f t="shared" si="309"/>
        <v>0</v>
      </c>
      <c r="DM139" s="144"/>
      <c r="DN139" s="144"/>
      <c r="DO139" s="144">
        <f t="shared" si="310"/>
        <v>0</v>
      </c>
      <c r="DP139" s="144"/>
      <c r="DQ139" s="144"/>
      <c r="DR139" s="144">
        <f t="shared" si="311"/>
        <v>41652.239000000001</v>
      </c>
      <c r="DS139" s="144"/>
      <c r="DT139" s="144">
        <f>DK139-DN139-DQ139</f>
        <v>41652.239000000001</v>
      </c>
      <c r="DU139" s="144">
        <f t="shared" si="312"/>
        <v>0</v>
      </c>
      <c r="DV139" s="144"/>
      <c r="DW139" s="144"/>
      <c r="DX139" s="144">
        <f t="shared" si="313"/>
        <v>0</v>
      </c>
      <c r="DY139" s="144"/>
      <c r="DZ139" s="144"/>
      <c r="EA139" s="144"/>
      <c r="EB139" s="144"/>
      <c r="EC139" s="144"/>
      <c r="ED139" s="144"/>
      <c r="EE139" s="144"/>
      <c r="EF139" s="144"/>
      <c r="EG139" s="144">
        <f t="shared" si="318"/>
        <v>0</v>
      </c>
      <c r="EH139" s="144"/>
      <c r="EI139" s="144"/>
      <c r="EJ139" s="144">
        <f>DY139</f>
        <v>0</v>
      </c>
      <c r="EK139" s="144">
        <f t="shared" si="319"/>
        <v>0</v>
      </c>
      <c r="EL139" s="144"/>
      <c r="EM139" s="144"/>
      <c r="EN139" s="144"/>
      <c r="EO139" s="144">
        <f>EP139+ER139</f>
        <v>0</v>
      </c>
      <c r="EP139" s="144"/>
      <c r="EQ139" s="144"/>
      <c r="ER139" s="144"/>
      <c r="ES139" s="163">
        <f t="shared" si="314"/>
        <v>0</v>
      </c>
      <c r="ET139" s="164">
        <f>ED139</f>
        <v>0</v>
      </c>
      <c r="EU139" s="164"/>
      <c r="EV139" s="144">
        <f>EE139+EN139</f>
        <v>0</v>
      </c>
      <c r="EW139" s="144">
        <f t="shared" si="315"/>
        <v>0</v>
      </c>
      <c r="EX139" s="144"/>
      <c r="EY139" s="144"/>
      <c r="EZ139" s="144"/>
      <c r="FA139" s="144"/>
      <c r="FB139" s="144"/>
      <c r="FC139" s="143">
        <f t="shared" si="320"/>
        <v>9287.2484700000005</v>
      </c>
      <c r="FD139" s="143"/>
      <c r="FE139" s="143"/>
      <c r="FF139" s="143">
        <v>9287.2484700000005</v>
      </c>
      <c r="FG139" s="143">
        <f>FH139+FJ139</f>
        <v>0</v>
      </c>
      <c r="FH139" s="143"/>
      <c r="FI139" s="143"/>
      <c r="FJ139" s="143">
        <f>FR139-FF139</f>
        <v>0</v>
      </c>
      <c r="FK139" s="143">
        <f>FL139+FN139</f>
        <v>0</v>
      </c>
      <c r="FL139" s="143"/>
      <c r="FM139" s="143"/>
      <c r="FN139" s="143"/>
      <c r="FO139" s="143">
        <f t="shared" si="321"/>
        <v>9287.2484700000005</v>
      </c>
      <c r="FP139" s="143"/>
      <c r="FQ139" s="143"/>
      <c r="FR139" s="143">
        <v>9287.2484700000005</v>
      </c>
      <c r="FS139" s="90">
        <f t="shared" si="195"/>
        <v>8106.7365900000004</v>
      </c>
      <c r="FT139" s="518">
        <f t="shared" si="241"/>
        <v>0.8728889526523026</v>
      </c>
      <c r="FU139" s="90">
        <v>0</v>
      </c>
      <c r="FV139" s="518">
        <v>0</v>
      </c>
      <c r="FW139" s="87">
        <f>FW386+FW436</f>
        <v>0</v>
      </c>
      <c r="FX139" s="665">
        <v>0</v>
      </c>
      <c r="FY139" s="90">
        <f>GG139</f>
        <v>8106.7365900000004</v>
      </c>
      <c r="FZ139" s="518">
        <f t="shared" si="322"/>
        <v>0.8728889526523026</v>
      </c>
      <c r="GA139" s="90">
        <f t="shared" si="247"/>
        <v>8106.7365900000004</v>
      </c>
      <c r="GB139" s="518">
        <f t="shared" si="248"/>
        <v>0.8728889526523026</v>
      </c>
      <c r="GC139" s="90"/>
      <c r="GD139" s="518"/>
      <c r="GE139" s="87"/>
      <c r="GF139" s="515"/>
      <c r="GG139" s="87">
        <v>8106.7365900000004</v>
      </c>
      <c r="GH139" s="518">
        <f t="shared" si="323"/>
        <v>0.8728889526523026</v>
      </c>
      <c r="GI139" s="90">
        <f t="shared" si="243"/>
        <v>9287.2484700000005</v>
      </c>
      <c r="GJ139" s="518">
        <f t="shared" si="244"/>
        <v>1</v>
      </c>
      <c r="GK139" s="90">
        <f>GK386+GK436</f>
        <v>0</v>
      </c>
      <c r="GL139" s="518">
        <v>0</v>
      </c>
      <c r="GM139" s="90">
        <f t="shared" si="316"/>
        <v>0</v>
      </c>
      <c r="GN139" s="518">
        <v>0</v>
      </c>
      <c r="GO139" s="143">
        <v>9287.2484700000005</v>
      </c>
      <c r="GP139" s="518">
        <f t="shared" si="294"/>
        <v>1</v>
      </c>
      <c r="GQ139" s="144"/>
      <c r="GR139" s="144"/>
      <c r="GS139" s="144"/>
      <c r="GT139" s="144"/>
      <c r="GU139" s="144">
        <f t="shared" si="324"/>
        <v>0</v>
      </c>
      <c r="GV139" s="144"/>
      <c r="GW139" s="144"/>
      <c r="GX139" s="144">
        <v>0</v>
      </c>
      <c r="GY139" s="144"/>
      <c r="GZ139" s="144"/>
      <c r="HA139" s="144"/>
      <c r="HB139" s="144"/>
      <c r="HC139" s="144"/>
      <c r="HD139" s="144"/>
      <c r="HE139" s="144"/>
      <c r="HF139" s="144"/>
      <c r="HG139" s="144">
        <f t="shared" ref="HG139:HG146" si="326">HH139+HJ139</f>
        <v>0</v>
      </c>
      <c r="HH139" s="144"/>
      <c r="HI139" s="144"/>
      <c r="HJ139" s="144">
        <f>HC139</f>
        <v>0</v>
      </c>
      <c r="HK139" s="144">
        <f>HL139+HN139</f>
        <v>0</v>
      </c>
      <c r="HL139" s="144"/>
      <c r="HM139" s="144"/>
      <c r="HN139" s="144">
        <f>HG139</f>
        <v>0</v>
      </c>
      <c r="HO139" s="144">
        <f t="shared" ref="HO139:HO146" si="327">HP139+HR139</f>
        <v>0</v>
      </c>
      <c r="HP139" s="144"/>
      <c r="HQ139" s="144"/>
      <c r="HR139" s="144">
        <f>HG139</f>
        <v>0</v>
      </c>
      <c r="HS139" s="144">
        <f t="shared" ref="HS139:HS146" si="328">HT139+HV139</f>
        <v>0</v>
      </c>
      <c r="HT139" s="144"/>
      <c r="HU139" s="144"/>
      <c r="HV139" s="144">
        <f>HO139</f>
        <v>0</v>
      </c>
      <c r="HW139" s="144">
        <f>HX139+HZ139</f>
        <v>0</v>
      </c>
      <c r="HX139" s="144"/>
      <c r="HY139" s="144"/>
      <c r="HZ139" s="144">
        <f>HS139</f>
        <v>0</v>
      </c>
      <c r="IA139" s="144">
        <f t="shared" ref="IA139:IA146" si="329">IB139+ID139</f>
        <v>0</v>
      </c>
      <c r="IB139" s="144"/>
      <c r="IC139" s="144"/>
      <c r="ID139" s="144">
        <f>HW139</f>
        <v>0</v>
      </c>
      <c r="IE139" s="548" t="s">
        <v>228</v>
      </c>
      <c r="IF139" s="145" t="s">
        <v>229</v>
      </c>
      <c r="IG139" s="145"/>
      <c r="IH139" s="145"/>
    </row>
    <row r="140" spans="2:242" s="225" customFormat="1" ht="93" customHeight="1" x14ac:dyDescent="0.2">
      <c r="B140" s="186" t="s">
        <v>221</v>
      </c>
      <c r="C140" s="221" t="s">
        <v>493</v>
      </c>
      <c r="D140" s="222"/>
      <c r="E140" s="143"/>
      <c r="F140" s="143"/>
      <c r="G140" s="143"/>
      <c r="H140" s="143"/>
      <c r="I140" s="143"/>
      <c r="J140" s="143"/>
      <c r="K140" s="143"/>
      <c r="L140" s="143"/>
      <c r="M140" s="143"/>
      <c r="N140" s="143"/>
      <c r="O140" s="143"/>
      <c r="P140" s="143"/>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68"/>
      <c r="AL140" s="168"/>
      <c r="AM140" s="223"/>
      <c r="AN140" s="223"/>
      <c r="AO140" s="166"/>
      <c r="AP140" s="144"/>
      <c r="AQ140" s="144"/>
      <c r="AR140" s="168"/>
      <c r="AS140" s="144"/>
      <c r="AT140" s="144"/>
      <c r="AU140" s="144"/>
      <c r="AV140" s="144"/>
      <c r="AW140" s="144"/>
      <c r="AX140" s="144"/>
      <c r="AY140" s="144"/>
      <c r="AZ140" s="144"/>
      <c r="BA140" s="144"/>
      <c r="BB140" s="144"/>
      <c r="BC140" s="144"/>
      <c r="BD140" s="144"/>
      <c r="BE140" s="144"/>
      <c r="BF140" s="144"/>
      <c r="BG140" s="144"/>
      <c r="BH140" s="144"/>
      <c r="BI140" s="144"/>
      <c r="BJ140" s="144"/>
      <c r="BK140" s="167"/>
      <c r="BL140" s="168"/>
      <c r="BM140" s="168"/>
      <c r="BN140" s="168"/>
      <c r="BO140" s="168"/>
      <c r="BP140" s="168"/>
      <c r="BQ140" s="168"/>
      <c r="BR140" s="168"/>
      <c r="BS140" s="168"/>
      <c r="BT140" s="168"/>
      <c r="BU140" s="168"/>
      <c r="BV140" s="144"/>
      <c r="BW140" s="144"/>
      <c r="BX140" s="144"/>
      <c r="BY140" s="144"/>
      <c r="BZ140" s="144"/>
      <c r="CA140" s="144"/>
      <c r="CB140" s="144">
        <f t="shared" si="305"/>
        <v>0</v>
      </c>
      <c r="CC140" s="144"/>
      <c r="CD140" s="144">
        <v>0</v>
      </c>
      <c r="CE140" s="168"/>
      <c r="CF140" s="168"/>
      <c r="CG140" s="144"/>
      <c r="CH140" s="144"/>
      <c r="CI140" s="144"/>
      <c r="CJ140" s="144"/>
      <c r="CK140" s="144"/>
      <c r="CL140" s="144"/>
      <c r="CM140" s="144"/>
      <c r="CN140" s="144"/>
      <c r="CO140" s="144"/>
      <c r="CP140" s="144"/>
      <c r="CQ140" s="144"/>
      <c r="CR140" s="144"/>
      <c r="CS140" s="144"/>
      <c r="CT140" s="144"/>
      <c r="CU140" s="144"/>
      <c r="CV140" s="144"/>
      <c r="CW140" s="144">
        <f t="shared" si="306"/>
        <v>0</v>
      </c>
      <c r="CX140" s="144"/>
      <c r="CY140" s="227">
        <v>0</v>
      </c>
      <c r="CZ140" s="144">
        <f t="shared" si="307"/>
        <v>0</v>
      </c>
      <c r="DA140" s="144"/>
      <c r="DB140" s="144"/>
      <c r="DC140" s="144"/>
      <c r="DD140" s="144"/>
      <c r="DE140" s="144"/>
      <c r="DF140" s="144">
        <f t="shared" si="308"/>
        <v>0</v>
      </c>
      <c r="DG140" s="144"/>
      <c r="DH140" s="144">
        <v>0</v>
      </c>
      <c r="DI140" s="144">
        <f t="shared" si="283"/>
        <v>0</v>
      </c>
      <c r="DJ140" s="144"/>
      <c r="DK140" s="144">
        <v>0</v>
      </c>
      <c r="DL140" s="144">
        <f t="shared" si="309"/>
        <v>0</v>
      </c>
      <c r="DM140" s="144"/>
      <c r="DN140" s="144">
        <v>0</v>
      </c>
      <c r="DO140" s="144">
        <f t="shared" si="310"/>
        <v>0</v>
      </c>
      <c r="DP140" s="144"/>
      <c r="DQ140" s="144">
        <v>0</v>
      </c>
      <c r="DR140" s="144">
        <f t="shared" si="311"/>
        <v>0</v>
      </c>
      <c r="DS140" s="144"/>
      <c r="DT140" s="144">
        <v>0</v>
      </c>
      <c r="DU140" s="144">
        <f t="shared" si="312"/>
        <v>0</v>
      </c>
      <c r="DV140" s="144"/>
      <c r="DW140" s="144"/>
      <c r="DX140" s="144">
        <f t="shared" si="313"/>
        <v>7114.1279999999997</v>
      </c>
      <c r="DY140" s="144"/>
      <c r="DZ140" s="144">
        <v>7114.1279999999997</v>
      </c>
      <c r="EA140" s="144"/>
      <c r="EB140" s="144"/>
      <c r="EC140" s="144"/>
      <c r="ED140" s="144"/>
      <c r="EE140" s="144"/>
      <c r="EF140" s="144"/>
      <c r="EG140" s="144">
        <f t="shared" si="318"/>
        <v>6889.42</v>
      </c>
      <c r="EH140" s="144"/>
      <c r="EI140" s="144"/>
      <c r="EJ140" s="144">
        <v>6889.42</v>
      </c>
      <c r="EK140" s="144">
        <f t="shared" si="319"/>
        <v>0</v>
      </c>
      <c r="EL140" s="144"/>
      <c r="EM140" s="144"/>
      <c r="EN140" s="144">
        <v>0</v>
      </c>
      <c r="EO140" s="144">
        <f>EP140+ER140</f>
        <v>0</v>
      </c>
      <c r="EP140" s="144"/>
      <c r="EQ140" s="144"/>
      <c r="ER140" s="144">
        <v>0</v>
      </c>
      <c r="ES140" s="164">
        <f t="shared" si="314"/>
        <v>0</v>
      </c>
      <c r="ET140" s="164">
        <f>ED140</f>
        <v>0</v>
      </c>
      <c r="EU140" s="164"/>
      <c r="EV140" s="144">
        <f>FR140-EJ140</f>
        <v>0</v>
      </c>
      <c r="EW140" s="144">
        <f t="shared" si="315"/>
        <v>7114.1279999999997</v>
      </c>
      <c r="EX140" s="144"/>
      <c r="EY140" s="144">
        <v>7114.1279999999997</v>
      </c>
      <c r="EZ140" s="144"/>
      <c r="FA140" s="144"/>
      <c r="FB140" s="144"/>
      <c r="FC140" s="143">
        <f t="shared" si="320"/>
        <v>6889.42</v>
      </c>
      <c r="FD140" s="143"/>
      <c r="FE140" s="143"/>
      <c r="FF140" s="143">
        <v>6889.42</v>
      </c>
      <c r="FG140" s="143">
        <f>FH140+FJ140</f>
        <v>0</v>
      </c>
      <c r="FH140" s="143"/>
      <c r="FI140" s="143"/>
      <c r="FJ140" s="143">
        <v>0</v>
      </c>
      <c r="FK140" s="143">
        <f>FL140+FN140</f>
        <v>0</v>
      </c>
      <c r="FL140" s="143"/>
      <c r="FM140" s="143"/>
      <c r="FN140" s="143">
        <v>0</v>
      </c>
      <c r="FO140" s="143">
        <f t="shared" si="321"/>
        <v>6889.42</v>
      </c>
      <c r="FP140" s="143"/>
      <c r="FQ140" s="143"/>
      <c r="FR140" s="143">
        <v>6889.42</v>
      </c>
      <c r="FS140" s="90">
        <f t="shared" si="195"/>
        <v>0</v>
      </c>
      <c r="FT140" s="518">
        <f t="shared" si="241"/>
        <v>0</v>
      </c>
      <c r="FU140" s="90">
        <v>0</v>
      </c>
      <c r="FV140" s="518">
        <v>0</v>
      </c>
      <c r="FW140" s="87">
        <f>FW387+FW437</f>
        <v>0</v>
      </c>
      <c r="FX140" s="665">
        <v>0</v>
      </c>
      <c r="FY140" s="90">
        <v>0</v>
      </c>
      <c r="FZ140" s="518">
        <f t="shared" si="322"/>
        <v>0</v>
      </c>
      <c r="GA140" s="90">
        <f t="shared" si="247"/>
        <v>0</v>
      </c>
      <c r="GB140" s="518">
        <f t="shared" si="248"/>
        <v>0</v>
      </c>
      <c r="GC140" s="90"/>
      <c r="GD140" s="518"/>
      <c r="GE140" s="87"/>
      <c r="GF140" s="515"/>
      <c r="GG140" s="87">
        <v>0</v>
      </c>
      <c r="GH140" s="518">
        <f t="shared" si="323"/>
        <v>0</v>
      </c>
      <c r="GI140" s="90">
        <f t="shared" si="243"/>
        <v>6889.42</v>
      </c>
      <c r="GJ140" s="518">
        <f t="shared" si="244"/>
        <v>1</v>
      </c>
      <c r="GK140" s="90">
        <v>0</v>
      </c>
      <c r="GL140" s="518">
        <v>0</v>
      </c>
      <c r="GM140" s="90">
        <f t="shared" si="316"/>
        <v>0</v>
      </c>
      <c r="GN140" s="518">
        <v>0</v>
      </c>
      <c r="GO140" s="143">
        <v>6889.42</v>
      </c>
      <c r="GP140" s="518">
        <f t="shared" si="294"/>
        <v>1</v>
      </c>
      <c r="GQ140" s="144"/>
      <c r="GR140" s="144"/>
      <c r="GS140" s="144"/>
      <c r="GT140" s="144"/>
      <c r="GU140" s="144">
        <f t="shared" si="324"/>
        <v>0</v>
      </c>
      <c r="GV140" s="144"/>
      <c r="GW140" s="144"/>
      <c r="GX140" s="144">
        <v>0</v>
      </c>
      <c r="GY140" s="144"/>
      <c r="GZ140" s="144"/>
      <c r="HA140" s="144"/>
      <c r="HB140" s="144"/>
      <c r="HC140" s="144"/>
      <c r="HD140" s="144"/>
      <c r="HE140" s="144"/>
      <c r="HF140" s="144"/>
      <c r="HG140" s="144">
        <f t="shared" si="326"/>
        <v>0</v>
      </c>
      <c r="HH140" s="144"/>
      <c r="HI140" s="144"/>
      <c r="HJ140" s="144">
        <v>0</v>
      </c>
      <c r="HK140" s="144">
        <f>HL140+HN140</f>
        <v>0</v>
      </c>
      <c r="HL140" s="144"/>
      <c r="HM140" s="144"/>
      <c r="HN140" s="144">
        <v>0</v>
      </c>
      <c r="HO140" s="144">
        <f t="shared" si="327"/>
        <v>0</v>
      </c>
      <c r="HP140" s="144"/>
      <c r="HQ140" s="144"/>
      <c r="HR140" s="144">
        <v>0</v>
      </c>
      <c r="HS140" s="144">
        <f t="shared" si="328"/>
        <v>0</v>
      </c>
      <c r="HT140" s="144"/>
      <c r="HU140" s="144"/>
      <c r="HV140" s="144">
        <v>0</v>
      </c>
      <c r="HW140" s="144">
        <f>HX140+HZ140</f>
        <v>0</v>
      </c>
      <c r="HX140" s="144"/>
      <c r="HY140" s="144"/>
      <c r="HZ140" s="144">
        <v>0</v>
      </c>
      <c r="IA140" s="144">
        <f t="shared" si="329"/>
        <v>0</v>
      </c>
      <c r="IB140" s="144"/>
      <c r="IC140" s="144"/>
      <c r="ID140" s="144">
        <v>0</v>
      </c>
      <c r="IE140" s="548" t="s">
        <v>230</v>
      </c>
      <c r="IF140" s="145"/>
      <c r="IG140" s="145"/>
      <c r="IH140" s="145"/>
    </row>
    <row r="141" spans="2:242" s="202" customFormat="1" ht="87" hidden="1" customHeight="1" x14ac:dyDescent="0.25">
      <c r="B141" s="100" t="s">
        <v>78</v>
      </c>
      <c r="C141" s="559" t="s">
        <v>231</v>
      </c>
      <c r="D141" s="102"/>
      <c r="E141" s="103"/>
      <c r="F141" s="103"/>
      <c r="G141" s="103"/>
      <c r="H141" s="103"/>
      <c r="I141" s="103"/>
      <c r="J141" s="103"/>
      <c r="K141" s="103"/>
      <c r="L141" s="103"/>
      <c r="M141" s="103"/>
      <c r="N141" s="103"/>
      <c r="O141" s="103"/>
      <c r="P141" s="103"/>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6"/>
      <c r="AL141" s="106"/>
      <c r="AM141" s="111"/>
      <c r="AN141" s="111"/>
      <c r="AO141" s="109"/>
      <c r="AP141" s="105"/>
      <c r="AQ141" s="105"/>
      <c r="AR141" s="106"/>
      <c r="AS141" s="105"/>
      <c r="AT141" s="105"/>
      <c r="AU141" s="105"/>
      <c r="AV141" s="105"/>
      <c r="AW141" s="105"/>
      <c r="AX141" s="105"/>
      <c r="AY141" s="105"/>
      <c r="AZ141" s="105"/>
      <c r="BA141" s="105"/>
      <c r="BB141" s="105"/>
      <c r="BC141" s="105"/>
      <c r="BD141" s="105"/>
      <c r="BE141" s="105"/>
      <c r="BF141" s="105"/>
      <c r="BG141" s="105"/>
      <c r="BH141" s="105"/>
      <c r="BI141" s="105"/>
      <c r="BJ141" s="105"/>
      <c r="BK141" s="110"/>
      <c r="BL141" s="106"/>
      <c r="BM141" s="106"/>
      <c r="BN141" s="106"/>
      <c r="BO141" s="106"/>
      <c r="BP141" s="106"/>
      <c r="BQ141" s="106"/>
      <c r="BR141" s="106"/>
      <c r="BS141" s="106"/>
      <c r="BT141" s="106"/>
      <c r="BU141" s="106"/>
      <c r="BV141" s="105"/>
      <c r="BW141" s="105"/>
      <c r="BX141" s="105"/>
      <c r="BY141" s="105"/>
      <c r="BZ141" s="105"/>
      <c r="CA141" s="105"/>
      <c r="CB141" s="105"/>
      <c r="CC141" s="105"/>
      <c r="CD141" s="105"/>
      <c r="CE141" s="106"/>
      <c r="CF141" s="106"/>
      <c r="CG141" s="105"/>
      <c r="CH141" s="105"/>
      <c r="CI141" s="105"/>
      <c r="CJ141" s="105"/>
      <c r="CK141" s="105"/>
      <c r="CL141" s="105"/>
      <c r="CM141" s="105"/>
      <c r="CN141" s="105"/>
      <c r="CO141" s="105"/>
      <c r="CP141" s="105"/>
      <c r="CQ141" s="105"/>
      <c r="CR141" s="105"/>
      <c r="CS141" s="105"/>
      <c r="CT141" s="105"/>
      <c r="CU141" s="105"/>
      <c r="CV141" s="105"/>
      <c r="CW141" s="105"/>
      <c r="CX141" s="105"/>
      <c r="CY141" s="561"/>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f t="shared" si="318"/>
        <v>0</v>
      </c>
      <c r="EH141" s="105"/>
      <c r="EI141" s="105"/>
      <c r="EJ141" s="105">
        <v>0</v>
      </c>
      <c r="EK141" s="105"/>
      <c r="EL141" s="105"/>
      <c r="EM141" s="105"/>
      <c r="EN141" s="105"/>
      <c r="EO141" s="105"/>
      <c r="EP141" s="105"/>
      <c r="EQ141" s="105"/>
      <c r="ER141" s="105"/>
      <c r="ES141" s="181">
        <f t="shared" si="314"/>
        <v>0</v>
      </c>
      <c r="ET141" s="181">
        <v>0</v>
      </c>
      <c r="EU141" s="181"/>
      <c r="EV141" s="105">
        <v>0</v>
      </c>
      <c r="EW141" s="105"/>
      <c r="EX141" s="105"/>
      <c r="EY141" s="105"/>
      <c r="EZ141" s="105"/>
      <c r="FA141" s="105"/>
      <c r="FB141" s="105"/>
      <c r="FC141" s="103"/>
      <c r="FD141" s="103"/>
      <c r="FE141" s="103"/>
      <c r="FF141" s="103"/>
      <c r="FG141" s="103"/>
      <c r="FH141" s="103"/>
      <c r="FI141" s="103"/>
      <c r="FJ141" s="103"/>
      <c r="FK141" s="103"/>
      <c r="FL141" s="103"/>
      <c r="FM141" s="103"/>
      <c r="FN141" s="103"/>
      <c r="FO141" s="103">
        <f t="shared" si="321"/>
        <v>0</v>
      </c>
      <c r="FP141" s="103"/>
      <c r="FQ141" s="103"/>
      <c r="FR141" s="103">
        <v>0</v>
      </c>
      <c r="FS141" s="629">
        <f t="shared" si="195"/>
        <v>0</v>
      </c>
      <c r="FT141" s="595" t="e">
        <f t="shared" si="241"/>
        <v>#DIV/0!</v>
      </c>
      <c r="FU141" s="629">
        <v>0</v>
      </c>
      <c r="FV141" s="595" t="e">
        <f t="shared" si="242"/>
        <v>#DIV/0!</v>
      </c>
      <c r="FW141" s="522">
        <f>FW388+FW438</f>
        <v>0</v>
      </c>
      <c r="FX141" s="666" t="e">
        <f>FW141/FE141</f>
        <v>#DIV/0!</v>
      </c>
      <c r="FY141" s="629">
        <f>FY388+FY438</f>
        <v>0</v>
      </c>
      <c r="FZ141" s="595" t="e">
        <f t="shared" si="322"/>
        <v>#DIV/0!</v>
      </c>
      <c r="GA141" s="629">
        <f t="shared" si="247"/>
        <v>0</v>
      </c>
      <c r="GB141" s="595" t="e">
        <f t="shared" si="248"/>
        <v>#DIV/0!</v>
      </c>
      <c r="GC141" s="629"/>
      <c r="GD141" s="595"/>
      <c r="GE141" s="522"/>
      <c r="GF141" s="514"/>
      <c r="GG141" s="522">
        <f>GG388+GG438</f>
        <v>0</v>
      </c>
      <c r="GH141" s="595" t="e">
        <f t="shared" si="323"/>
        <v>#DIV/0!</v>
      </c>
      <c r="GI141" s="629">
        <f t="shared" si="243"/>
        <v>0</v>
      </c>
      <c r="GJ141" s="595" t="e">
        <f t="shared" si="244"/>
        <v>#DIV/0!</v>
      </c>
      <c r="GK141" s="629"/>
      <c r="GL141" s="595" t="e">
        <f t="shared" si="245"/>
        <v>#DIV/0!</v>
      </c>
      <c r="GM141" s="629">
        <f t="shared" si="316"/>
        <v>0</v>
      </c>
      <c r="GN141" s="595" t="e">
        <f>GM141/FE141</f>
        <v>#DIV/0!</v>
      </c>
      <c r="GO141" s="629">
        <f>GO388+GO438</f>
        <v>0</v>
      </c>
      <c r="GP141" s="595" t="e">
        <f t="shared" si="294"/>
        <v>#DIV/0!</v>
      </c>
      <c r="GQ141" s="105"/>
      <c r="GR141" s="105"/>
      <c r="GS141" s="105"/>
      <c r="GT141" s="105"/>
      <c r="GU141" s="105">
        <f t="shared" si="324"/>
        <v>6440</v>
      </c>
      <c r="GV141" s="105"/>
      <c r="GW141" s="105"/>
      <c r="GX141" s="105">
        <v>6440</v>
      </c>
      <c r="GY141" s="105"/>
      <c r="GZ141" s="105"/>
      <c r="HA141" s="105"/>
      <c r="HB141" s="105"/>
      <c r="HC141" s="105"/>
      <c r="HD141" s="105"/>
      <c r="HE141" s="105"/>
      <c r="HF141" s="105"/>
      <c r="HG141" s="181">
        <f>HO141-GU141</f>
        <v>0</v>
      </c>
      <c r="HH141" s="105"/>
      <c r="HI141" s="105"/>
      <c r="HJ141" s="105">
        <f>HR141-GX141</f>
        <v>0</v>
      </c>
      <c r="HK141" s="181">
        <v>0</v>
      </c>
      <c r="HL141" s="105"/>
      <c r="HM141" s="105"/>
      <c r="HN141" s="105">
        <f>IH141-HB141</f>
        <v>0</v>
      </c>
      <c r="HO141" s="105">
        <f t="shared" si="327"/>
        <v>6440</v>
      </c>
      <c r="HP141" s="105"/>
      <c r="HQ141" s="105"/>
      <c r="HR141" s="105">
        <f>6650-210</f>
        <v>6440</v>
      </c>
      <c r="HS141" s="105">
        <f t="shared" si="328"/>
        <v>0</v>
      </c>
      <c r="HT141" s="105"/>
      <c r="HU141" s="105"/>
      <c r="HV141" s="105">
        <v>0</v>
      </c>
      <c r="HW141" s="181">
        <v>0</v>
      </c>
      <c r="HX141" s="105"/>
      <c r="HY141" s="105"/>
      <c r="HZ141" s="105">
        <f>IT141-HN141</f>
        <v>0</v>
      </c>
      <c r="IA141" s="105">
        <f t="shared" si="329"/>
        <v>0</v>
      </c>
      <c r="IB141" s="105"/>
      <c r="IC141" s="105"/>
      <c r="ID141" s="105">
        <v>0</v>
      </c>
      <c r="IE141" s="199" t="s">
        <v>230</v>
      </c>
      <c r="IF141" s="141"/>
      <c r="IG141" s="141"/>
      <c r="IH141" s="141"/>
    </row>
    <row r="142" spans="2:242" s="202" customFormat="1" ht="36.75" customHeight="1" x14ac:dyDescent="0.25">
      <c r="B142" s="100" t="s">
        <v>232</v>
      </c>
      <c r="C142" s="479" t="s">
        <v>233</v>
      </c>
      <c r="D142" s="102"/>
      <c r="E142" s="103"/>
      <c r="F142" s="103"/>
      <c r="G142" s="103"/>
      <c r="H142" s="103"/>
      <c r="I142" s="103"/>
      <c r="J142" s="103"/>
      <c r="K142" s="103"/>
      <c r="L142" s="103"/>
      <c r="M142" s="103"/>
      <c r="N142" s="103"/>
      <c r="O142" s="103"/>
      <c r="P142" s="103"/>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6"/>
      <c r="AL142" s="106"/>
      <c r="AM142" s="111"/>
      <c r="AN142" s="111"/>
      <c r="AO142" s="109"/>
      <c r="AP142" s="105"/>
      <c r="AQ142" s="105"/>
      <c r="AR142" s="106"/>
      <c r="AS142" s="105"/>
      <c r="AT142" s="105"/>
      <c r="AU142" s="105"/>
      <c r="AV142" s="105"/>
      <c r="AW142" s="105"/>
      <c r="AX142" s="105"/>
      <c r="AY142" s="105"/>
      <c r="AZ142" s="105"/>
      <c r="BA142" s="105"/>
      <c r="BB142" s="105"/>
      <c r="BC142" s="105"/>
      <c r="BD142" s="105"/>
      <c r="BE142" s="105"/>
      <c r="BF142" s="105"/>
      <c r="BG142" s="105"/>
      <c r="BH142" s="105"/>
      <c r="BI142" s="105"/>
      <c r="BJ142" s="105"/>
      <c r="BK142" s="110"/>
      <c r="BL142" s="106"/>
      <c r="BM142" s="106"/>
      <c r="BN142" s="106"/>
      <c r="BO142" s="106"/>
      <c r="BP142" s="106"/>
      <c r="BQ142" s="106"/>
      <c r="BR142" s="106"/>
      <c r="BS142" s="106"/>
      <c r="BT142" s="106"/>
      <c r="BU142" s="106"/>
      <c r="BV142" s="105"/>
      <c r="BW142" s="105"/>
      <c r="BX142" s="105"/>
      <c r="BY142" s="105"/>
      <c r="BZ142" s="105"/>
      <c r="CA142" s="105"/>
      <c r="CB142" s="105">
        <f t="shared" si="305"/>
        <v>20040.400000000001</v>
      </c>
      <c r="CC142" s="105">
        <f t="shared" ref="CC142:CV142" si="330">CC143+CC144+CC146</f>
        <v>0</v>
      </c>
      <c r="CD142" s="105">
        <f t="shared" si="330"/>
        <v>20040.400000000001</v>
      </c>
      <c r="CE142" s="105">
        <f t="shared" si="330"/>
        <v>0</v>
      </c>
      <c r="CF142" s="105">
        <f t="shared" si="330"/>
        <v>0</v>
      </c>
      <c r="CG142" s="105">
        <f t="shared" si="330"/>
        <v>0</v>
      </c>
      <c r="CH142" s="105">
        <f t="shared" si="330"/>
        <v>0</v>
      </c>
      <c r="CI142" s="105">
        <f t="shared" si="330"/>
        <v>0</v>
      </c>
      <c r="CJ142" s="105">
        <f t="shared" si="330"/>
        <v>0</v>
      </c>
      <c r="CK142" s="105">
        <f t="shared" si="330"/>
        <v>0</v>
      </c>
      <c r="CL142" s="105">
        <f t="shared" si="330"/>
        <v>0</v>
      </c>
      <c r="CM142" s="105">
        <f t="shared" si="330"/>
        <v>0</v>
      </c>
      <c r="CN142" s="105">
        <f t="shared" si="330"/>
        <v>0</v>
      </c>
      <c r="CO142" s="105">
        <f t="shared" si="330"/>
        <v>0</v>
      </c>
      <c r="CP142" s="105">
        <f t="shared" si="330"/>
        <v>0</v>
      </c>
      <c r="CQ142" s="105">
        <f t="shared" si="330"/>
        <v>0</v>
      </c>
      <c r="CR142" s="105">
        <f t="shared" si="330"/>
        <v>0</v>
      </c>
      <c r="CS142" s="105">
        <f t="shared" si="330"/>
        <v>0</v>
      </c>
      <c r="CT142" s="105">
        <f t="shared" si="330"/>
        <v>0</v>
      </c>
      <c r="CU142" s="105">
        <f t="shared" si="330"/>
        <v>0</v>
      </c>
      <c r="CV142" s="105">
        <f t="shared" si="330"/>
        <v>0</v>
      </c>
      <c r="CW142" s="105">
        <f t="shared" si="306"/>
        <v>425</v>
      </c>
      <c r="CX142" s="105">
        <f>CX143+CX144+CX146</f>
        <v>0</v>
      </c>
      <c r="CY142" s="105">
        <f>CY143+CY144+CY146</f>
        <v>425</v>
      </c>
      <c r="CZ142" s="105">
        <f t="shared" si="307"/>
        <v>0</v>
      </c>
      <c r="DA142" s="105">
        <f>DA143+DA144+DA146</f>
        <v>0</v>
      </c>
      <c r="DB142" s="105">
        <f>DB143+DB144+DB146</f>
        <v>0</v>
      </c>
      <c r="DC142" s="105"/>
      <c r="DD142" s="105"/>
      <c r="DE142" s="105"/>
      <c r="DF142" s="105">
        <f t="shared" si="308"/>
        <v>0</v>
      </c>
      <c r="DG142" s="105">
        <f>DG143+DG144+DG146</f>
        <v>0</v>
      </c>
      <c r="DH142" s="105">
        <f>DH143+DH144+DH146</f>
        <v>0</v>
      </c>
      <c r="DI142" s="105">
        <f t="shared" si="283"/>
        <v>425</v>
      </c>
      <c r="DJ142" s="105">
        <f>DJ143+DJ144+DJ146</f>
        <v>0</v>
      </c>
      <c r="DK142" s="105">
        <f>DK143+DK144+DK146</f>
        <v>425</v>
      </c>
      <c r="DL142" s="105">
        <f t="shared" si="309"/>
        <v>0</v>
      </c>
      <c r="DM142" s="105">
        <f>DM143+DM144+DM146</f>
        <v>0</v>
      </c>
      <c r="DN142" s="105">
        <f>DN143+DN144+DN146</f>
        <v>0</v>
      </c>
      <c r="DO142" s="105">
        <f t="shared" si="310"/>
        <v>0</v>
      </c>
      <c r="DP142" s="105">
        <f>DP143+DP144+DP146</f>
        <v>0</v>
      </c>
      <c r="DQ142" s="105">
        <f>DQ143+DQ144+DQ146</f>
        <v>0</v>
      </c>
      <c r="DR142" s="105">
        <f t="shared" si="311"/>
        <v>425</v>
      </c>
      <c r="DS142" s="105">
        <f>DS143+DS144+DS146</f>
        <v>0</v>
      </c>
      <c r="DT142" s="105">
        <f>DT143+DT144+DT146</f>
        <v>425</v>
      </c>
      <c r="DU142" s="105">
        <f t="shared" si="312"/>
        <v>0</v>
      </c>
      <c r="DV142" s="105">
        <f>DV143+DV144+DV146</f>
        <v>0</v>
      </c>
      <c r="DW142" s="105">
        <f>DW143+DW144+DW146</f>
        <v>0</v>
      </c>
      <c r="DX142" s="105">
        <f t="shared" si="313"/>
        <v>33381.119999999995</v>
      </c>
      <c r="DY142" s="105">
        <f>DY143+DY144+DY146</f>
        <v>0</v>
      </c>
      <c r="DZ142" s="105">
        <f>DZ143+DZ144+DZ146</f>
        <v>33381.119999999995</v>
      </c>
      <c r="EA142" s="105"/>
      <c r="EB142" s="105"/>
      <c r="EC142" s="105"/>
      <c r="ED142" s="106">
        <f>EE142+EF142</f>
        <v>57513.938000000002</v>
      </c>
      <c r="EE142" s="106">
        <f>EE143+EE144</f>
        <v>0</v>
      </c>
      <c r="EF142" s="105">
        <f>EF143+EF144</f>
        <v>57513.938000000002</v>
      </c>
      <c r="EG142" s="106">
        <f t="shared" si="318"/>
        <v>171257.24300000002</v>
      </c>
      <c r="EH142" s="106">
        <f>EH143+EH144</f>
        <v>0</v>
      </c>
      <c r="EI142" s="106"/>
      <c r="EJ142" s="105">
        <f>SUM(EJ143:EJ149)</f>
        <v>171257.24300000002</v>
      </c>
      <c r="EK142" s="106">
        <f>EL142+EN142</f>
        <v>0</v>
      </c>
      <c r="EL142" s="106">
        <f>EL143+EL144</f>
        <v>0</v>
      </c>
      <c r="EM142" s="106"/>
      <c r="EN142" s="105">
        <f>EN143+EN144</f>
        <v>0</v>
      </c>
      <c r="EO142" s="106">
        <f t="shared" ref="EO142:EO164" si="331">EP142+ER142</f>
        <v>0</v>
      </c>
      <c r="EP142" s="106">
        <f>EP143+EP144</f>
        <v>0</v>
      </c>
      <c r="EQ142" s="106"/>
      <c r="ER142" s="105">
        <f>ER143+ER144+ER146+ER147+ER151</f>
        <v>0</v>
      </c>
      <c r="ES142" s="106">
        <f t="shared" si="314"/>
        <v>0</v>
      </c>
      <c r="ET142" s="106">
        <f>ET144+ET146+ET147</f>
        <v>0</v>
      </c>
      <c r="EU142" s="106"/>
      <c r="EV142" s="105">
        <f>EV143+EV144+EV146+EV147</f>
        <v>0</v>
      </c>
      <c r="EW142" s="105">
        <f t="shared" si="315"/>
        <v>33381.119999999995</v>
      </c>
      <c r="EX142" s="105">
        <f>EX143+EX144+EX146</f>
        <v>0</v>
      </c>
      <c r="EY142" s="105">
        <f>EY143+EY144+EY146</f>
        <v>33381.119999999995</v>
      </c>
      <c r="EZ142" s="105"/>
      <c r="FA142" s="105"/>
      <c r="FB142" s="105"/>
      <c r="FC142" s="103">
        <f t="shared" si="320"/>
        <v>217255.23668999999</v>
      </c>
      <c r="FD142" s="103"/>
      <c r="FE142" s="103"/>
      <c r="FF142" s="103">
        <f>SUM(FC143:FE149)</f>
        <v>217255.23668999999</v>
      </c>
      <c r="FG142" s="103">
        <f>FH142+FJ142</f>
        <v>63356.747640000001</v>
      </c>
      <c r="FH142" s="103">
        <f>FH143+FH144+FH146</f>
        <v>0</v>
      </c>
      <c r="FI142" s="103"/>
      <c r="FJ142" s="103">
        <f>SUM(FJ143:FJ149)</f>
        <v>63356.747640000001</v>
      </c>
      <c r="FK142" s="104">
        <f t="shared" ref="FK142:FK154" si="332">FL142+FN142</f>
        <v>-63356.747620000002</v>
      </c>
      <c r="FL142" s="104">
        <f>FL143+FL144</f>
        <v>0</v>
      </c>
      <c r="FM142" s="104"/>
      <c r="FN142" s="103">
        <f>FN143+FN144+FN146+FN147+FN151</f>
        <v>-63356.747620000002</v>
      </c>
      <c r="FO142" s="104">
        <f t="shared" si="321"/>
        <v>217255.23671</v>
      </c>
      <c r="FP142" s="104">
        <f>FP143+FP144</f>
        <v>0</v>
      </c>
      <c r="FQ142" s="104"/>
      <c r="FR142" s="103">
        <f>SUM(FR143:FR149)</f>
        <v>217255.23671</v>
      </c>
      <c r="FS142" s="629">
        <f t="shared" si="195"/>
        <v>12054.89862</v>
      </c>
      <c r="FT142" s="595">
        <f t="shared" si="241"/>
        <v>5.5487263753283202E-2</v>
      </c>
      <c r="FU142" s="629">
        <v>0</v>
      </c>
      <c r="FV142" s="595">
        <v>0</v>
      </c>
      <c r="FW142" s="522">
        <f t="shared" ref="FW142:FW167" si="333">FW390+FW439</f>
        <v>0</v>
      </c>
      <c r="FX142" s="666">
        <v>0</v>
      </c>
      <c r="FY142" s="629">
        <f>FY143+FY144+FY146+FY148+FY149</f>
        <v>12054.89862</v>
      </c>
      <c r="FZ142" s="595">
        <f t="shared" si="322"/>
        <v>5.5487263753283202E-2</v>
      </c>
      <c r="GA142" s="629">
        <f t="shared" si="247"/>
        <v>12054.89862</v>
      </c>
      <c r="GB142" s="595">
        <f t="shared" si="248"/>
        <v>5.5487263753283202E-2</v>
      </c>
      <c r="GC142" s="629"/>
      <c r="GD142" s="595"/>
      <c r="GE142" s="522"/>
      <c r="GF142" s="514"/>
      <c r="GG142" s="105">
        <f>SUM(GG143:GG149)</f>
        <v>12054.89862</v>
      </c>
      <c r="GH142" s="595">
        <f t="shared" si="323"/>
        <v>5.5487263753283202E-2</v>
      </c>
      <c r="GI142" s="629">
        <f t="shared" si="243"/>
        <v>217255.23668999999</v>
      </c>
      <c r="GJ142" s="595">
        <f t="shared" si="244"/>
        <v>1</v>
      </c>
      <c r="GK142" s="629"/>
      <c r="GL142" s="595">
        <v>0</v>
      </c>
      <c r="GM142" s="629">
        <f t="shared" ref="GM142:GM167" si="334">GM390+GM439</f>
        <v>0</v>
      </c>
      <c r="GN142" s="595">
        <v>0</v>
      </c>
      <c r="GO142" s="103">
        <f>GO143+GO144+GO146+GO148+GO149</f>
        <v>217255.23668999999</v>
      </c>
      <c r="GP142" s="595">
        <f t="shared" si="294"/>
        <v>1</v>
      </c>
      <c r="GQ142" s="105"/>
      <c r="GR142" s="105"/>
      <c r="GS142" s="105"/>
      <c r="GT142" s="105"/>
      <c r="GU142" s="105">
        <f t="shared" si="324"/>
        <v>289332.62118000002</v>
      </c>
      <c r="GV142" s="105"/>
      <c r="GW142" s="105"/>
      <c r="GX142" s="105">
        <f>SUM(GX143:GX149)</f>
        <v>289332.62118000002</v>
      </c>
      <c r="GY142" s="105"/>
      <c r="GZ142" s="105"/>
      <c r="HA142" s="105"/>
      <c r="HB142" s="105"/>
      <c r="HC142" s="105"/>
      <c r="HD142" s="105"/>
      <c r="HE142" s="105"/>
      <c r="HF142" s="105"/>
      <c r="HG142" s="105">
        <f t="shared" si="326"/>
        <v>0</v>
      </c>
      <c r="HH142" s="105"/>
      <c r="HI142" s="105"/>
      <c r="HJ142" s="105">
        <f>HJ143+HJ144+HJ146+HJ147</f>
        <v>0</v>
      </c>
      <c r="HK142" s="105">
        <f>HL142+HN142</f>
        <v>0</v>
      </c>
      <c r="HL142" s="105"/>
      <c r="HM142" s="105"/>
      <c r="HN142" s="105">
        <f>HN143+HN144+HN146+HN147</f>
        <v>0</v>
      </c>
      <c r="HO142" s="105">
        <f t="shared" si="327"/>
        <v>289332.62118000002</v>
      </c>
      <c r="HP142" s="105"/>
      <c r="HQ142" s="105"/>
      <c r="HR142" s="105">
        <f>SUM(HR143:HR149)</f>
        <v>289332.62118000002</v>
      </c>
      <c r="HS142" s="105">
        <f t="shared" si="328"/>
        <v>0</v>
      </c>
      <c r="HT142" s="105"/>
      <c r="HU142" s="105"/>
      <c r="HV142" s="105">
        <f>HV143+HV144+HV146+HV147+HV148+HV149</f>
        <v>0</v>
      </c>
      <c r="HW142" s="105">
        <f>HX142+HZ142</f>
        <v>0</v>
      </c>
      <c r="HX142" s="105"/>
      <c r="HY142" s="105"/>
      <c r="HZ142" s="105">
        <f>HZ143+HZ144+HZ146+HZ147</f>
        <v>0</v>
      </c>
      <c r="IA142" s="105">
        <f t="shared" si="329"/>
        <v>0</v>
      </c>
      <c r="IB142" s="105"/>
      <c r="IC142" s="105"/>
      <c r="ID142" s="105">
        <f>ID143+ID144+ID146+ID147+ID148+ID149</f>
        <v>0</v>
      </c>
      <c r="IE142" s="216"/>
      <c r="IF142" s="141"/>
      <c r="IG142" s="141"/>
      <c r="IH142" s="141"/>
    </row>
    <row r="143" spans="2:242" s="225" customFormat="1" ht="145.5" customHeight="1" x14ac:dyDescent="0.2">
      <c r="B143" s="186" t="s">
        <v>134</v>
      </c>
      <c r="C143" s="221" t="s">
        <v>234</v>
      </c>
      <c r="D143" s="222"/>
      <c r="E143" s="143"/>
      <c r="F143" s="143"/>
      <c r="G143" s="143"/>
      <c r="H143" s="143"/>
      <c r="I143" s="143"/>
      <c r="J143" s="143"/>
      <c r="K143" s="143"/>
      <c r="L143" s="143"/>
      <c r="M143" s="143"/>
      <c r="N143" s="143"/>
      <c r="O143" s="143"/>
      <c r="P143" s="143"/>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68"/>
      <c r="AL143" s="168"/>
      <c r="AM143" s="223"/>
      <c r="AN143" s="223"/>
      <c r="AO143" s="166"/>
      <c r="AP143" s="144"/>
      <c r="AQ143" s="144"/>
      <c r="AR143" s="168"/>
      <c r="AS143" s="144"/>
      <c r="AT143" s="144"/>
      <c r="AU143" s="144"/>
      <c r="AV143" s="144"/>
      <c r="AW143" s="144"/>
      <c r="AX143" s="144"/>
      <c r="AY143" s="144"/>
      <c r="AZ143" s="144"/>
      <c r="BA143" s="144"/>
      <c r="BB143" s="144"/>
      <c r="BC143" s="144"/>
      <c r="BD143" s="144"/>
      <c r="BE143" s="144"/>
      <c r="BF143" s="144"/>
      <c r="BG143" s="144"/>
      <c r="BH143" s="144"/>
      <c r="BI143" s="144"/>
      <c r="BJ143" s="144"/>
      <c r="BK143" s="167"/>
      <c r="BL143" s="168"/>
      <c r="BM143" s="168"/>
      <c r="BN143" s="168"/>
      <c r="BO143" s="168"/>
      <c r="BP143" s="168"/>
      <c r="BQ143" s="168"/>
      <c r="BR143" s="168"/>
      <c r="BS143" s="168"/>
      <c r="BT143" s="168"/>
      <c r="BU143" s="168"/>
      <c r="BV143" s="144"/>
      <c r="BW143" s="144"/>
      <c r="BX143" s="144"/>
      <c r="BY143" s="144"/>
      <c r="BZ143" s="144"/>
      <c r="CA143" s="144"/>
      <c r="CB143" s="144">
        <f t="shared" si="305"/>
        <v>20040.400000000001</v>
      </c>
      <c r="CC143" s="144"/>
      <c r="CD143" s="144">
        <v>20040.400000000001</v>
      </c>
      <c r="CE143" s="168"/>
      <c r="CF143" s="168"/>
      <c r="CG143" s="144"/>
      <c r="CH143" s="144"/>
      <c r="CI143" s="144"/>
      <c r="CJ143" s="144"/>
      <c r="CK143" s="144"/>
      <c r="CL143" s="144"/>
      <c r="CM143" s="144"/>
      <c r="CN143" s="144"/>
      <c r="CO143" s="144"/>
      <c r="CP143" s="144"/>
      <c r="CQ143" s="144"/>
      <c r="CR143" s="144"/>
      <c r="CS143" s="144"/>
      <c r="CT143" s="144"/>
      <c r="CU143" s="144"/>
      <c r="CV143" s="144"/>
      <c r="CW143" s="144">
        <f t="shared" si="306"/>
        <v>0</v>
      </c>
      <c r="CX143" s="144"/>
      <c r="CY143" s="144">
        <v>0</v>
      </c>
      <c r="CZ143" s="144">
        <f t="shared" si="307"/>
        <v>0</v>
      </c>
      <c r="DA143" s="144"/>
      <c r="DB143" s="144"/>
      <c r="DC143" s="144"/>
      <c r="DD143" s="144"/>
      <c r="DE143" s="144"/>
      <c r="DF143" s="144">
        <f t="shared" si="308"/>
        <v>0</v>
      </c>
      <c r="DG143" s="144"/>
      <c r="DH143" s="144">
        <f>DK143-CY143</f>
        <v>0</v>
      </c>
      <c r="DI143" s="144">
        <f t="shared" si="283"/>
        <v>0</v>
      </c>
      <c r="DJ143" s="144"/>
      <c r="DK143" s="144">
        <v>0</v>
      </c>
      <c r="DL143" s="144">
        <f t="shared" si="309"/>
        <v>0</v>
      </c>
      <c r="DM143" s="144"/>
      <c r="DN143" s="144"/>
      <c r="DO143" s="144">
        <f t="shared" si="310"/>
        <v>0</v>
      </c>
      <c r="DP143" s="144"/>
      <c r="DQ143" s="144"/>
      <c r="DR143" s="144">
        <f t="shared" si="311"/>
        <v>0</v>
      </c>
      <c r="DS143" s="144"/>
      <c r="DT143" s="144">
        <f>DK143-DN143-DQ143</f>
        <v>0</v>
      </c>
      <c r="DU143" s="144">
        <f t="shared" si="312"/>
        <v>0</v>
      </c>
      <c r="DV143" s="144"/>
      <c r="DW143" s="144"/>
      <c r="DX143" s="144">
        <f t="shared" si="313"/>
        <v>0</v>
      </c>
      <c r="DY143" s="144"/>
      <c r="DZ143" s="144"/>
      <c r="EA143" s="144"/>
      <c r="EB143" s="144"/>
      <c r="EC143" s="144"/>
      <c r="ED143" s="144">
        <f>EE143+EF143</f>
        <v>57513.938000000002</v>
      </c>
      <c r="EE143" s="144"/>
      <c r="EF143" s="144">
        <f>EJ143-DW143</f>
        <v>57513.938000000002</v>
      </c>
      <c r="EG143" s="144">
        <f t="shared" si="318"/>
        <v>57513.938000000002</v>
      </c>
      <c r="EH143" s="144"/>
      <c r="EI143" s="144"/>
      <c r="EJ143" s="144">
        <v>57513.938000000002</v>
      </c>
      <c r="EK143" s="144">
        <f t="shared" si="319"/>
        <v>0</v>
      </c>
      <c r="EL143" s="144"/>
      <c r="EM143" s="144"/>
      <c r="EN143" s="144"/>
      <c r="EO143" s="144">
        <f t="shared" si="331"/>
        <v>0</v>
      </c>
      <c r="EP143" s="144"/>
      <c r="EQ143" s="144"/>
      <c r="ER143" s="144"/>
      <c r="ES143" s="164">
        <f t="shared" si="314"/>
        <v>0</v>
      </c>
      <c r="ET143" s="164">
        <v>0</v>
      </c>
      <c r="EU143" s="164"/>
      <c r="EV143" s="144">
        <f>FR143-EJ143</f>
        <v>0</v>
      </c>
      <c r="EW143" s="144">
        <f t="shared" si="315"/>
        <v>0</v>
      </c>
      <c r="EX143" s="144"/>
      <c r="EY143" s="144"/>
      <c r="EZ143" s="144"/>
      <c r="FA143" s="144"/>
      <c r="FB143" s="144"/>
      <c r="FC143" s="143">
        <f t="shared" si="320"/>
        <v>57513.938000000002</v>
      </c>
      <c r="FD143" s="143"/>
      <c r="FE143" s="143"/>
      <c r="FF143" s="143">
        <v>57513.938000000002</v>
      </c>
      <c r="FG143" s="143">
        <f>FH143+FJ143</f>
        <v>0</v>
      </c>
      <c r="FH143" s="143"/>
      <c r="FI143" s="143"/>
      <c r="FJ143" s="143"/>
      <c r="FK143" s="143">
        <f t="shared" si="332"/>
        <v>0</v>
      </c>
      <c r="FL143" s="143"/>
      <c r="FM143" s="143"/>
      <c r="FN143" s="143"/>
      <c r="FO143" s="143">
        <f>FP143+FR143</f>
        <v>57513.938000000002</v>
      </c>
      <c r="FP143" s="143"/>
      <c r="FQ143" s="143"/>
      <c r="FR143" s="143">
        <f>EJ143</f>
        <v>57513.938000000002</v>
      </c>
      <c r="FS143" s="90">
        <f t="shared" si="195"/>
        <v>0</v>
      </c>
      <c r="FT143" s="518">
        <f t="shared" si="241"/>
        <v>0</v>
      </c>
      <c r="FU143" s="90">
        <v>0</v>
      </c>
      <c r="FV143" s="518">
        <v>0</v>
      </c>
      <c r="FW143" s="87">
        <f t="shared" si="333"/>
        <v>0</v>
      </c>
      <c r="FX143" s="665">
        <v>0</v>
      </c>
      <c r="FY143" s="90">
        <f t="shared" ref="FY143:FY167" si="335">FY391+FY440</f>
        <v>0</v>
      </c>
      <c r="FZ143" s="515">
        <f t="shared" si="322"/>
        <v>0</v>
      </c>
      <c r="GA143" s="90">
        <f t="shared" si="247"/>
        <v>0</v>
      </c>
      <c r="GB143" s="518">
        <f t="shared" si="248"/>
        <v>0</v>
      </c>
      <c r="GC143" s="90"/>
      <c r="GD143" s="518"/>
      <c r="GE143" s="87"/>
      <c r="GF143" s="515"/>
      <c r="GG143" s="87">
        <f t="shared" ref="GG143:GG167" si="336">GG391+GG440</f>
        <v>0</v>
      </c>
      <c r="GH143" s="515">
        <f t="shared" si="323"/>
        <v>0</v>
      </c>
      <c r="GI143" s="90">
        <f t="shared" si="243"/>
        <v>57513.938000000002</v>
      </c>
      <c r="GJ143" s="518">
        <f t="shared" si="244"/>
        <v>1</v>
      </c>
      <c r="GK143" s="90">
        <f t="shared" ref="GK143:GK167" si="337">GK391+GK440</f>
        <v>0</v>
      </c>
      <c r="GL143" s="518">
        <v>0</v>
      </c>
      <c r="GM143" s="90">
        <f t="shared" si="334"/>
        <v>0</v>
      </c>
      <c r="GN143" s="518">
        <v>0</v>
      </c>
      <c r="GO143" s="90">
        <f>FF143</f>
        <v>57513.938000000002</v>
      </c>
      <c r="GP143" s="518">
        <f t="shared" si="294"/>
        <v>1</v>
      </c>
      <c r="GQ143" s="143"/>
      <c r="GR143" s="143"/>
      <c r="GS143" s="143"/>
      <c r="GT143" s="143"/>
      <c r="GU143" s="144">
        <f t="shared" si="324"/>
        <v>0</v>
      </c>
      <c r="GV143" s="144"/>
      <c r="GW143" s="144"/>
      <c r="GX143" s="144">
        <v>0</v>
      </c>
      <c r="GY143" s="144"/>
      <c r="GZ143" s="144"/>
      <c r="HA143" s="144"/>
      <c r="HB143" s="144"/>
      <c r="HC143" s="144"/>
      <c r="HD143" s="144"/>
      <c r="HE143" s="144"/>
      <c r="HF143" s="144"/>
      <c r="HG143" s="144">
        <f t="shared" si="326"/>
        <v>0</v>
      </c>
      <c r="HH143" s="144"/>
      <c r="HI143" s="144"/>
      <c r="HJ143" s="144">
        <f>HC143</f>
        <v>0</v>
      </c>
      <c r="HK143" s="144">
        <f>HL143+HN143</f>
        <v>0</v>
      </c>
      <c r="HL143" s="144"/>
      <c r="HM143" s="144"/>
      <c r="HN143" s="144">
        <f>HG143</f>
        <v>0</v>
      </c>
      <c r="HO143" s="144">
        <f t="shared" si="327"/>
        <v>0</v>
      </c>
      <c r="HP143" s="144"/>
      <c r="HQ143" s="144"/>
      <c r="HR143" s="144">
        <f>HG143</f>
        <v>0</v>
      </c>
      <c r="HS143" s="144">
        <f t="shared" si="328"/>
        <v>0</v>
      </c>
      <c r="HT143" s="144"/>
      <c r="HU143" s="144"/>
      <c r="HV143" s="144">
        <f>HO143</f>
        <v>0</v>
      </c>
      <c r="HW143" s="144">
        <f>HX143+HZ143</f>
        <v>0</v>
      </c>
      <c r="HX143" s="144"/>
      <c r="HY143" s="144"/>
      <c r="HZ143" s="144">
        <f>HS143</f>
        <v>0</v>
      </c>
      <c r="IA143" s="144">
        <f t="shared" si="329"/>
        <v>0</v>
      </c>
      <c r="IB143" s="144"/>
      <c r="IC143" s="144"/>
      <c r="ID143" s="144">
        <f>HW143</f>
        <v>0</v>
      </c>
      <c r="IE143" s="548" t="s">
        <v>235</v>
      </c>
      <c r="IF143" s="145"/>
      <c r="IG143" s="145"/>
      <c r="IH143" s="145"/>
    </row>
    <row r="144" spans="2:242" s="225" customFormat="1" ht="72.75" customHeight="1" x14ac:dyDescent="0.2">
      <c r="B144" s="186" t="s">
        <v>221</v>
      </c>
      <c r="C144" s="221" t="s">
        <v>495</v>
      </c>
      <c r="D144" s="222"/>
      <c r="E144" s="143"/>
      <c r="F144" s="143"/>
      <c r="G144" s="143"/>
      <c r="H144" s="143"/>
      <c r="I144" s="143"/>
      <c r="J144" s="143"/>
      <c r="K144" s="143"/>
      <c r="L144" s="143"/>
      <c r="M144" s="143"/>
      <c r="N144" s="143"/>
      <c r="O144" s="143"/>
      <c r="P144" s="143"/>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68"/>
      <c r="AL144" s="168"/>
      <c r="AM144" s="223"/>
      <c r="AN144" s="223"/>
      <c r="AO144" s="166"/>
      <c r="AP144" s="144"/>
      <c r="AQ144" s="144"/>
      <c r="AR144" s="168"/>
      <c r="AS144" s="144"/>
      <c r="AT144" s="144"/>
      <c r="AU144" s="144"/>
      <c r="AV144" s="144"/>
      <c r="AW144" s="144"/>
      <c r="AX144" s="144"/>
      <c r="AY144" s="144"/>
      <c r="AZ144" s="144"/>
      <c r="BA144" s="144"/>
      <c r="BB144" s="144"/>
      <c r="BC144" s="144"/>
      <c r="BD144" s="144"/>
      <c r="BE144" s="144"/>
      <c r="BF144" s="144"/>
      <c r="BG144" s="144"/>
      <c r="BH144" s="144"/>
      <c r="BI144" s="144"/>
      <c r="BJ144" s="144"/>
      <c r="BK144" s="167"/>
      <c r="BL144" s="168"/>
      <c r="BM144" s="168"/>
      <c r="BN144" s="168"/>
      <c r="BO144" s="168"/>
      <c r="BP144" s="168"/>
      <c r="BQ144" s="168"/>
      <c r="BR144" s="168"/>
      <c r="BS144" s="168"/>
      <c r="BT144" s="168"/>
      <c r="BU144" s="168"/>
      <c r="BV144" s="144"/>
      <c r="BW144" s="144"/>
      <c r="BX144" s="144"/>
      <c r="BY144" s="144"/>
      <c r="BZ144" s="144"/>
      <c r="CA144" s="144"/>
      <c r="CB144" s="144">
        <f t="shared" si="305"/>
        <v>0</v>
      </c>
      <c r="CC144" s="144"/>
      <c r="CD144" s="144"/>
      <c r="CE144" s="168"/>
      <c r="CF144" s="168"/>
      <c r="CG144" s="144"/>
      <c r="CH144" s="144"/>
      <c r="CI144" s="144"/>
      <c r="CJ144" s="144"/>
      <c r="CK144" s="144"/>
      <c r="CL144" s="144"/>
      <c r="CM144" s="144"/>
      <c r="CN144" s="144"/>
      <c r="CO144" s="144"/>
      <c r="CP144" s="144"/>
      <c r="CQ144" s="144"/>
      <c r="CR144" s="144"/>
      <c r="CS144" s="144"/>
      <c r="CT144" s="144"/>
      <c r="CU144" s="144"/>
      <c r="CV144" s="144"/>
      <c r="CW144" s="144">
        <f t="shared" si="306"/>
        <v>425</v>
      </c>
      <c r="CX144" s="144"/>
      <c r="CY144" s="144">
        <v>425</v>
      </c>
      <c r="CZ144" s="144">
        <f t="shared" si="307"/>
        <v>0</v>
      </c>
      <c r="DA144" s="144"/>
      <c r="DB144" s="144"/>
      <c r="DC144" s="144"/>
      <c r="DD144" s="144"/>
      <c r="DE144" s="144"/>
      <c r="DF144" s="144">
        <f t="shared" si="308"/>
        <v>0</v>
      </c>
      <c r="DG144" s="144"/>
      <c r="DH144" s="144">
        <f>DK144-CY144</f>
        <v>0</v>
      </c>
      <c r="DI144" s="144">
        <f t="shared" si="283"/>
        <v>425</v>
      </c>
      <c r="DJ144" s="144"/>
      <c r="DK144" s="144">
        <f>CY144</f>
        <v>425</v>
      </c>
      <c r="DL144" s="144">
        <f t="shared" si="309"/>
        <v>0</v>
      </c>
      <c r="DM144" s="144"/>
      <c r="DN144" s="144"/>
      <c r="DO144" s="144">
        <f t="shared" si="310"/>
        <v>0</v>
      </c>
      <c r="DP144" s="144"/>
      <c r="DQ144" s="144"/>
      <c r="DR144" s="144">
        <f t="shared" si="311"/>
        <v>425</v>
      </c>
      <c r="DS144" s="144"/>
      <c r="DT144" s="144">
        <f>DK144-DN144-DQ144</f>
        <v>425</v>
      </c>
      <c r="DU144" s="144">
        <f t="shared" si="312"/>
        <v>0</v>
      </c>
      <c r="DV144" s="144"/>
      <c r="DW144" s="144"/>
      <c r="DX144" s="144">
        <f t="shared" si="313"/>
        <v>17686.32</v>
      </c>
      <c r="DY144" s="144"/>
      <c r="DZ144" s="144">
        <v>17686.32</v>
      </c>
      <c r="EA144" s="144"/>
      <c r="EB144" s="144"/>
      <c r="EC144" s="144"/>
      <c r="ED144" s="144">
        <f>EE144+EF144</f>
        <v>0</v>
      </c>
      <c r="EE144" s="144"/>
      <c r="EF144" s="144">
        <f>EJ144-DW144</f>
        <v>0</v>
      </c>
      <c r="EG144" s="144">
        <f t="shared" si="318"/>
        <v>0</v>
      </c>
      <c r="EH144" s="144"/>
      <c r="EI144" s="144"/>
      <c r="EJ144" s="144">
        <v>0</v>
      </c>
      <c r="EK144" s="144">
        <f t="shared" si="319"/>
        <v>0</v>
      </c>
      <c r="EL144" s="144"/>
      <c r="EM144" s="144"/>
      <c r="EN144" s="144"/>
      <c r="EO144" s="144">
        <f t="shared" si="331"/>
        <v>0</v>
      </c>
      <c r="EP144" s="144"/>
      <c r="EQ144" s="144"/>
      <c r="ER144" s="144">
        <f>EV144-EJ144</f>
        <v>0</v>
      </c>
      <c r="ES144" s="164">
        <f t="shared" si="314"/>
        <v>0</v>
      </c>
      <c r="ET144" s="164">
        <v>0</v>
      </c>
      <c r="EU144" s="164"/>
      <c r="EV144" s="144"/>
      <c r="EW144" s="144">
        <f t="shared" si="315"/>
        <v>17686.32</v>
      </c>
      <c r="EX144" s="144"/>
      <c r="EY144" s="144">
        <v>17686.32</v>
      </c>
      <c r="EZ144" s="144"/>
      <c r="FA144" s="144"/>
      <c r="FB144" s="144"/>
      <c r="FC144" s="143">
        <f t="shared" si="320"/>
        <v>63356.747620000002</v>
      </c>
      <c r="FD144" s="143"/>
      <c r="FE144" s="143"/>
      <c r="FF144" s="143">
        <v>63356.747620000002</v>
      </c>
      <c r="FG144" s="143">
        <f>FH144+FJ144</f>
        <v>0</v>
      </c>
      <c r="FH144" s="143"/>
      <c r="FI144" s="143"/>
      <c r="FJ144" s="143"/>
      <c r="FK144" s="143">
        <f t="shared" si="332"/>
        <v>-63356.747620000002</v>
      </c>
      <c r="FL144" s="143"/>
      <c r="FM144" s="143"/>
      <c r="FN144" s="143">
        <f>FR144-FF144</f>
        <v>-63356.747620000002</v>
      </c>
      <c r="FO144" s="143">
        <f t="shared" si="321"/>
        <v>0</v>
      </c>
      <c r="FP144" s="143"/>
      <c r="FQ144" s="143"/>
      <c r="FR144" s="143">
        <f>EJ144</f>
        <v>0</v>
      </c>
      <c r="FS144" s="90">
        <f t="shared" si="195"/>
        <v>0</v>
      </c>
      <c r="FT144" s="518">
        <f t="shared" si="241"/>
        <v>0</v>
      </c>
      <c r="FU144" s="90">
        <v>0</v>
      </c>
      <c r="FV144" s="518">
        <v>0</v>
      </c>
      <c r="FW144" s="87">
        <f t="shared" si="333"/>
        <v>0</v>
      </c>
      <c r="FX144" s="665">
        <v>0</v>
      </c>
      <c r="FY144" s="90">
        <f t="shared" si="335"/>
        <v>0</v>
      </c>
      <c r="FZ144" s="515">
        <f t="shared" si="322"/>
        <v>0</v>
      </c>
      <c r="GA144" s="90">
        <f t="shared" si="247"/>
        <v>0</v>
      </c>
      <c r="GB144" s="518">
        <f t="shared" si="248"/>
        <v>0</v>
      </c>
      <c r="GC144" s="90"/>
      <c r="GD144" s="518"/>
      <c r="GE144" s="87"/>
      <c r="GF144" s="515"/>
      <c r="GG144" s="87">
        <f t="shared" si="336"/>
        <v>0</v>
      </c>
      <c r="GH144" s="515">
        <f t="shared" si="323"/>
        <v>0</v>
      </c>
      <c r="GI144" s="90">
        <f t="shared" si="243"/>
        <v>63356.747620000002</v>
      </c>
      <c r="GJ144" s="518">
        <f t="shared" si="244"/>
        <v>1</v>
      </c>
      <c r="GK144" s="90">
        <f t="shared" si="337"/>
        <v>0</v>
      </c>
      <c r="GL144" s="518">
        <v>0</v>
      </c>
      <c r="GM144" s="90">
        <f t="shared" si="334"/>
        <v>0</v>
      </c>
      <c r="GN144" s="518">
        <v>0</v>
      </c>
      <c r="GO144" s="143">
        <v>63356.747620000002</v>
      </c>
      <c r="GP144" s="518">
        <f t="shared" si="294"/>
        <v>1</v>
      </c>
      <c r="GQ144" s="144"/>
      <c r="GR144" s="144"/>
      <c r="GS144" s="144"/>
      <c r="GT144" s="144"/>
      <c r="GU144" s="144">
        <f t="shared" si="324"/>
        <v>0</v>
      </c>
      <c r="GV144" s="144"/>
      <c r="GW144" s="144"/>
      <c r="GX144" s="144">
        <v>0</v>
      </c>
      <c r="GY144" s="144"/>
      <c r="GZ144" s="144"/>
      <c r="HA144" s="144"/>
      <c r="HB144" s="144"/>
      <c r="HC144" s="144"/>
      <c r="HD144" s="144"/>
      <c r="HE144" s="144"/>
      <c r="HF144" s="144"/>
      <c r="HG144" s="144">
        <f t="shared" si="326"/>
        <v>0</v>
      </c>
      <c r="HH144" s="144"/>
      <c r="HI144" s="144"/>
      <c r="HJ144" s="144">
        <f>HC144</f>
        <v>0</v>
      </c>
      <c r="HK144" s="144">
        <f>HL144+HN144</f>
        <v>0</v>
      </c>
      <c r="HL144" s="144"/>
      <c r="HM144" s="144"/>
      <c r="HN144" s="144">
        <f>HG144</f>
        <v>0</v>
      </c>
      <c r="HO144" s="144">
        <f t="shared" si="327"/>
        <v>0</v>
      </c>
      <c r="HP144" s="144"/>
      <c r="HQ144" s="144"/>
      <c r="HR144" s="144">
        <f>HG144</f>
        <v>0</v>
      </c>
      <c r="HS144" s="144">
        <f t="shared" si="328"/>
        <v>0</v>
      </c>
      <c r="HT144" s="144"/>
      <c r="HU144" s="144"/>
      <c r="HV144" s="144">
        <f>HO144</f>
        <v>0</v>
      </c>
      <c r="HW144" s="144">
        <f>HX144+HZ144</f>
        <v>0</v>
      </c>
      <c r="HX144" s="144"/>
      <c r="HY144" s="144"/>
      <c r="HZ144" s="144">
        <f>HS144</f>
        <v>0</v>
      </c>
      <c r="IA144" s="144">
        <f t="shared" si="329"/>
        <v>0</v>
      </c>
      <c r="IB144" s="144"/>
      <c r="IC144" s="144"/>
      <c r="ID144" s="144">
        <f>HW144</f>
        <v>0</v>
      </c>
      <c r="IE144" s="548" t="s">
        <v>236</v>
      </c>
      <c r="IF144" s="145"/>
      <c r="IG144" s="145"/>
      <c r="IH144" s="145"/>
    </row>
    <row r="145" spans="2:242" s="225" customFormat="1" ht="71.25" hidden="1" customHeight="1" x14ac:dyDescent="0.2">
      <c r="B145" s="186" t="s">
        <v>221</v>
      </c>
      <c r="C145" s="221" t="s">
        <v>495</v>
      </c>
      <c r="D145" s="222"/>
      <c r="E145" s="143"/>
      <c r="F145" s="143"/>
      <c r="G145" s="143"/>
      <c r="H145" s="143"/>
      <c r="I145" s="143"/>
      <c r="J145" s="143"/>
      <c r="K145" s="143"/>
      <c r="L145" s="143"/>
      <c r="M145" s="143"/>
      <c r="N145" s="143"/>
      <c r="O145" s="143"/>
      <c r="P145" s="143"/>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68"/>
      <c r="AL145" s="168"/>
      <c r="AM145" s="223"/>
      <c r="AN145" s="223"/>
      <c r="AO145" s="166"/>
      <c r="AP145" s="144"/>
      <c r="AQ145" s="144"/>
      <c r="AR145" s="168"/>
      <c r="AS145" s="144"/>
      <c r="AT145" s="144"/>
      <c r="AU145" s="144"/>
      <c r="AV145" s="144"/>
      <c r="AW145" s="144"/>
      <c r="AX145" s="144"/>
      <c r="AY145" s="144"/>
      <c r="AZ145" s="144"/>
      <c r="BA145" s="144"/>
      <c r="BB145" s="144"/>
      <c r="BC145" s="144"/>
      <c r="BD145" s="144"/>
      <c r="BE145" s="144"/>
      <c r="BF145" s="144"/>
      <c r="BG145" s="144"/>
      <c r="BH145" s="144"/>
      <c r="BI145" s="144"/>
      <c r="BJ145" s="144"/>
      <c r="BK145" s="167"/>
      <c r="BL145" s="168"/>
      <c r="BM145" s="168"/>
      <c r="BN145" s="168"/>
      <c r="BO145" s="168"/>
      <c r="BP145" s="168"/>
      <c r="BQ145" s="168"/>
      <c r="BR145" s="168"/>
      <c r="BS145" s="168"/>
      <c r="BT145" s="168"/>
      <c r="BU145" s="168"/>
      <c r="BV145" s="144"/>
      <c r="BW145" s="144"/>
      <c r="BX145" s="144"/>
      <c r="BY145" s="144"/>
      <c r="BZ145" s="144"/>
      <c r="CA145" s="144"/>
      <c r="CB145" s="144"/>
      <c r="CC145" s="144"/>
      <c r="CD145" s="144"/>
      <c r="CE145" s="168"/>
      <c r="CF145" s="168"/>
      <c r="CG145" s="144"/>
      <c r="CH145" s="144"/>
      <c r="CI145" s="144"/>
      <c r="CJ145" s="144"/>
      <c r="CK145" s="144"/>
      <c r="CL145" s="144"/>
      <c r="CM145" s="144"/>
      <c r="CN145" s="144"/>
      <c r="CO145" s="144"/>
      <c r="CP145" s="144"/>
      <c r="CQ145" s="144"/>
      <c r="CR145" s="144"/>
      <c r="CS145" s="144"/>
      <c r="CT145" s="144"/>
      <c r="CU145" s="144"/>
      <c r="CV145" s="144"/>
      <c r="CW145" s="144"/>
      <c r="CX145" s="144"/>
      <c r="CY145" s="144"/>
      <c r="CZ145" s="144"/>
      <c r="DA145" s="144"/>
      <c r="DB145" s="144"/>
      <c r="DC145" s="144"/>
      <c r="DD145" s="144"/>
      <c r="DE145" s="144"/>
      <c r="DF145" s="144"/>
      <c r="DG145" s="144"/>
      <c r="DH145" s="144"/>
      <c r="DI145" s="144"/>
      <c r="DJ145" s="144"/>
      <c r="DK145" s="144"/>
      <c r="DL145" s="144"/>
      <c r="DM145" s="144"/>
      <c r="DN145" s="144"/>
      <c r="DO145" s="144"/>
      <c r="DP145" s="144"/>
      <c r="DQ145" s="144"/>
      <c r="DR145" s="144"/>
      <c r="DS145" s="144"/>
      <c r="DT145" s="144"/>
      <c r="DU145" s="144"/>
      <c r="DV145" s="144"/>
      <c r="DW145" s="144"/>
      <c r="DX145" s="144"/>
      <c r="DY145" s="144"/>
      <c r="DZ145" s="144"/>
      <c r="EA145" s="144"/>
      <c r="EB145" s="144"/>
      <c r="EC145" s="144"/>
      <c r="ED145" s="144"/>
      <c r="EE145" s="144"/>
      <c r="EF145" s="144"/>
      <c r="EG145" s="144">
        <f t="shared" si="318"/>
        <v>30256.747619999998</v>
      </c>
      <c r="EH145" s="144"/>
      <c r="EI145" s="144"/>
      <c r="EJ145" s="144">
        <v>30256.747619999998</v>
      </c>
      <c r="EK145" s="144"/>
      <c r="EL145" s="144"/>
      <c r="EM145" s="144"/>
      <c r="EN145" s="144"/>
      <c r="EO145" s="144"/>
      <c r="EP145" s="144"/>
      <c r="EQ145" s="144"/>
      <c r="ER145" s="144"/>
      <c r="ES145" s="164">
        <f t="shared" si="314"/>
        <v>0</v>
      </c>
      <c r="ET145" s="164"/>
      <c r="EU145" s="164"/>
      <c r="EV145" s="144"/>
      <c r="EW145" s="144"/>
      <c r="EX145" s="144"/>
      <c r="EY145" s="144"/>
      <c r="EZ145" s="144"/>
      <c r="FA145" s="144"/>
      <c r="FB145" s="144"/>
      <c r="FC145" s="143">
        <f t="shared" si="320"/>
        <v>0</v>
      </c>
      <c r="FD145" s="143"/>
      <c r="FE145" s="143"/>
      <c r="FF145" s="143">
        <v>0</v>
      </c>
      <c r="FG145" s="143">
        <f>FJ145</f>
        <v>63356.747620000002</v>
      </c>
      <c r="FH145" s="143"/>
      <c r="FI145" s="143"/>
      <c r="FJ145" s="143">
        <f>FR145-FF145</f>
        <v>63356.747620000002</v>
      </c>
      <c r="FK145" s="143"/>
      <c r="FL145" s="143"/>
      <c r="FM145" s="143"/>
      <c r="FN145" s="143"/>
      <c r="FO145" s="143">
        <f>FP145+FR145</f>
        <v>63356.747620000002</v>
      </c>
      <c r="FP145" s="143"/>
      <c r="FQ145" s="143"/>
      <c r="FR145" s="143">
        <v>63356.747620000002</v>
      </c>
      <c r="FS145" s="90">
        <f t="shared" si="195"/>
        <v>0</v>
      </c>
      <c r="FT145" s="518" t="e">
        <f t="shared" si="241"/>
        <v>#DIV/0!</v>
      </c>
      <c r="FU145" s="90">
        <v>0</v>
      </c>
      <c r="FV145" s="518">
        <v>0</v>
      </c>
      <c r="FW145" s="87">
        <f t="shared" si="333"/>
        <v>0</v>
      </c>
      <c r="FX145" s="665">
        <v>0</v>
      </c>
      <c r="FY145" s="90">
        <f t="shared" si="335"/>
        <v>0</v>
      </c>
      <c r="FZ145" s="665" t="e">
        <f t="shared" si="322"/>
        <v>#DIV/0!</v>
      </c>
      <c r="GA145" s="90">
        <f t="shared" si="247"/>
        <v>0</v>
      </c>
      <c r="GB145" s="518" t="e">
        <f t="shared" si="248"/>
        <v>#DIV/0!</v>
      </c>
      <c r="GC145" s="90"/>
      <c r="GD145" s="518"/>
      <c r="GE145" s="87"/>
      <c r="GF145" s="515"/>
      <c r="GG145" s="87">
        <f t="shared" si="336"/>
        <v>0</v>
      </c>
      <c r="GH145" s="515" t="e">
        <f t="shared" si="323"/>
        <v>#DIV/0!</v>
      </c>
      <c r="GI145" s="90">
        <f t="shared" si="243"/>
        <v>0</v>
      </c>
      <c r="GJ145" s="518" t="e">
        <f t="shared" si="244"/>
        <v>#DIV/0!</v>
      </c>
      <c r="GK145" s="90">
        <f t="shared" si="337"/>
        <v>0</v>
      </c>
      <c r="GL145" s="518">
        <v>0</v>
      </c>
      <c r="GM145" s="90">
        <f t="shared" si="334"/>
        <v>0</v>
      </c>
      <c r="GN145" s="518">
        <v>0</v>
      </c>
      <c r="GO145" s="90">
        <f>GO393+GO442</f>
        <v>0</v>
      </c>
      <c r="GP145" s="518" t="e">
        <f t="shared" si="294"/>
        <v>#DIV/0!</v>
      </c>
      <c r="GQ145" s="143"/>
      <c r="GR145" s="143"/>
      <c r="GS145" s="143"/>
      <c r="GT145" s="143"/>
      <c r="GU145" s="144">
        <f t="shared" si="324"/>
        <v>102475.27138000001</v>
      </c>
      <c r="GV145" s="144"/>
      <c r="GW145" s="144"/>
      <c r="GX145" s="144">
        <v>102475.27138000001</v>
      </c>
      <c r="GY145" s="144"/>
      <c r="GZ145" s="144"/>
      <c r="HA145" s="144"/>
      <c r="HB145" s="144"/>
      <c r="HC145" s="144"/>
      <c r="HD145" s="144"/>
      <c r="HE145" s="144"/>
      <c r="HF145" s="144"/>
      <c r="HG145" s="144"/>
      <c r="HH145" s="144"/>
      <c r="HI145" s="144"/>
      <c r="HJ145" s="144"/>
      <c r="HK145" s="144">
        <f>HL145+HN145</f>
        <v>0</v>
      </c>
      <c r="HL145" s="144"/>
      <c r="HM145" s="144"/>
      <c r="HN145" s="144"/>
      <c r="HO145" s="144">
        <f t="shared" si="327"/>
        <v>102475.27138000001</v>
      </c>
      <c r="HP145" s="144"/>
      <c r="HQ145" s="144"/>
      <c r="HR145" s="144">
        <f>GX145</f>
        <v>102475.27138000001</v>
      </c>
      <c r="HS145" s="144">
        <f t="shared" si="328"/>
        <v>0</v>
      </c>
      <c r="HT145" s="144"/>
      <c r="HU145" s="144"/>
      <c r="HV145" s="144">
        <v>0</v>
      </c>
      <c r="HW145" s="144">
        <f>HX145+HZ145</f>
        <v>0</v>
      </c>
      <c r="HX145" s="144"/>
      <c r="HY145" s="144"/>
      <c r="HZ145" s="144">
        <f>HS145</f>
        <v>0</v>
      </c>
      <c r="IA145" s="144">
        <f t="shared" si="329"/>
        <v>0</v>
      </c>
      <c r="IB145" s="144"/>
      <c r="IC145" s="144"/>
      <c r="ID145" s="144">
        <f>HW145</f>
        <v>0</v>
      </c>
      <c r="IE145" s="550" t="s">
        <v>237</v>
      </c>
      <c r="IF145" s="145" t="s">
        <v>238</v>
      </c>
      <c r="IG145" s="145"/>
      <c r="IH145" s="145"/>
    </row>
    <row r="146" spans="2:242" s="225" customFormat="1" ht="78" customHeight="1" x14ac:dyDescent="0.2">
      <c r="B146" s="186" t="s">
        <v>78</v>
      </c>
      <c r="C146" s="221" t="s">
        <v>496</v>
      </c>
      <c r="D146" s="222"/>
      <c r="E146" s="143"/>
      <c r="F146" s="143"/>
      <c r="G146" s="143"/>
      <c r="H146" s="143"/>
      <c r="I146" s="143"/>
      <c r="J146" s="143"/>
      <c r="K146" s="143"/>
      <c r="L146" s="143"/>
      <c r="M146" s="143"/>
      <c r="N146" s="143"/>
      <c r="O146" s="143"/>
      <c r="P146" s="143"/>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68"/>
      <c r="AL146" s="168"/>
      <c r="AM146" s="223"/>
      <c r="AN146" s="223"/>
      <c r="AO146" s="166"/>
      <c r="AP146" s="144"/>
      <c r="AQ146" s="144"/>
      <c r="AR146" s="168"/>
      <c r="AS146" s="144"/>
      <c r="AT146" s="144"/>
      <c r="AU146" s="144"/>
      <c r="AV146" s="144"/>
      <c r="AW146" s="144"/>
      <c r="AX146" s="144"/>
      <c r="AY146" s="144"/>
      <c r="AZ146" s="144"/>
      <c r="BA146" s="144"/>
      <c r="BB146" s="144"/>
      <c r="BC146" s="144"/>
      <c r="BD146" s="144"/>
      <c r="BE146" s="144"/>
      <c r="BF146" s="144"/>
      <c r="BG146" s="144"/>
      <c r="BH146" s="144"/>
      <c r="BI146" s="144"/>
      <c r="BJ146" s="144"/>
      <c r="BK146" s="167"/>
      <c r="BL146" s="168"/>
      <c r="BM146" s="168"/>
      <c r="BN146" s="168"/>
      <c r="BO146" s="168"/>
      <c r="BP146" s="168"/>
      <c r="BQ146" s="168"/>
      <c r="BR146" s="168"/>
      <c r="BS146" s="168"/>
      <c r="BT146" s="168"/>
      <c r="BU146" s="168"/>
      <c r="BV146" s="144"/>
      <c r="BW146" s="144"/>
      <c r="BX146" s="144"/>
      <c r="BY146" s="144"/>
      <c r="BZ146" s="144"/>
      <c r="CA146" s="144"/>
      <c r="CB146" s="144">
        <f t="shared" si="305"/>
        <v>0</v>
      </c>
      <c r="CC146" s="144"/>
      <c r="CD146" s="144"/>
      <c r="CE146" s="168"/>
      <c r="CF146" s="168"/>
      <c r="CG146" s="144"/>
      <c r="CH146" s="144"/>
      <c r="CI146" s="144"/>
      <c r="CJ146" s="144"/>
      <c r="CK146" s="144"/>
      <c r="CL146" s="144"/>
      <c r="CM146" s="144"/>
      <c r="CN146" s="144"/>
      <c r="CO146" s="144"/>
      <c r="CP146" s="144"/>
      <c r="CQ146" s="144"/>
      <c r="CR146" s="144"/>
      <c r="CS146" s="144"/>
      <c r="CT146" s="144"/>
      <c r="CU146" s="144"/>
      <c r="CV146" s="144"/>
      <c r="CW146" s="144">
        <f t="shared" si="306"/>
        <v>0</v>
      </c>
      <c r="CX146" s="144"/>
      <c r="CY146" s="227"/>
      <c r="CZ146" s="144">
        <f t="shared" si="307"/>
        <v>0</v>
      </c>
      <c r="DA146" s="144"/>
      <c r="DB146" s="144"/>
      <c r="DC146" s="144"/>
      <c r="DD146" s="144"/>
      <c r="DE146" s="144"/>
      <c r="DF146" s="144">
        <f t="shared" si="308"/>
        <v>0</v>
      </c>
      <c r="DG146" s="144"/>
      <c r="DH146" s="144"/>
      <c r="DI146" s="144">
        <f t="shared" si="283"/>
        <v>0</v>
      </c>
      <c r="DJ146" s="144"/>
      <c r="DK146" s="144"/>
      <c r="DL146" s="144">
        <f t="shared" si="309"/>
        <v>0</v>
      </c>
      <c r="DM146" s="144"/>
      <c r="DN146" s="144"/>
      <c r="DO146" s="144">
        <f t="shared" si="310"/>
        <v>0</v>
      </c>
      <c r="DP146" s="144"/>
      <c r="DQ146" s="144"/>
      <c r="DR146" s="144">
        <f t="shared" si="311"/>
        <v>0</v>
      </c>
      <c r="DS146" s="144"/>
      <c r="DT146" s="144"/>
      <c r="DU146" s="144">
        <f t="shared" si="312"/>
        <v>0</v>
      </c>
      <c r="DV146" s="144"/>
      <c r="DW146" s="144"/>
      <c r="DX146" s="144">
        <f t="shared" si="313"/>
        <v>15694.8</v>
      </c>
      <c r="DY146" s="144"/>
      <c r="DZ146" s="144">
        <v>15694.8</v>
      </c>
      <c r="EA146" s="144"/>
      <c r="EB146" s="144"/>
      <c r="EC146" s="144"/>
      <c r="ED146" s="144"/>
      <c r="EE146" s="144"/>
      <c r="EF146" s="144"/>
      <c r="EG146" s="144">
        <f t="shared" si="318"/>
        <v>39795.1054</v>
      </c>
      <c r="EH146" s="144"/>
      <c r="EI146" s="144"/>
      <c r="EJ146" s="144">
        <v>39795.1054</v>
      </c>
      <c r="EK146" s="144">
        <f t="shared" si="319"/>
        <v>0</v>
      </c>
      <c r="EL146" s="144"/>
      <c r="EM146" s="144"/>
      <c r="EN146" s="144"/>
      <c r="EO146" s="144">
        <f t="shared" si="331"/>
        <v>0</v>
      </c>
      <c r="EP146" s="144"/>
      <c r="EQ146" s="144"/>
      <c r="ER146" s="144"/>
      <c r="ES146" s="164">
        <f t="shared" si="314"/>
        <v>0</v>
      </c>
      <c r="ET146" s="164">
        <f>ED146</f>
        <v>0</v>
      </c>
      <c r="EU146" s="164"/>
      <c r="EV146" s="144">
        <f>EE146+EN146</f>
        <v>0</v>
      </c>
      <c r="EW146" s="144">
        <f t="shared" si="315"/>
        <v>15694.8</v>
      </c>
      <c r="EX146" s="144"/>
      <c r="EY146" s="144">
        <v>15694.8</v>
      </c>
      <c r="EZ146" s="144"/>
      <c r="FA146" s="144"/>
      <c r="FB146" s="144"/>
      <c r="FC146" s="143">
        <f t="shared" si="320"/>
        <v>39795.1054</v>
      </c>
      <c r="FD146" s="143"/>
      <c r="FE146" s="143"/>
      <c r="FF146" s="143">
        <v>39795.1054</v>
      </c>
      <c r="FG146" s="143">
        <f>FH146+FJ146</f>
        <v>0</v>
      </c>
      <c r="FH146" s="143"/>
      <c r="FI146" s="143"/>
      <c r="FJ146" s="143">
        <f>FR146-FF146</f>
        <v>0</v>
      </c>
      <c r="FK146" s="143">
        <f t="shared" si="332"/>
        <v>0</v>
      </c>
      <c r="FL146" s="143"/>
      <c r="FM146" s="143"/>
      <c r="FN146" s="143"/>
      <c r="FO146" s="143">
        <f t="shared" si="321"/>
        <v>39795.1054</v>
      </c>
      <c r="FP146" s="143"/>
      <c r="FQ146" s="143"/>
      <c r="FR146" s="143">
        <v>39795.1054</v>
      </c>
      <c r="FS146" s="90">
        <f t="shared" si="195"/>
        <v>0</v>
      </c>
      <c r="FT146" s="518">
        <f t="shared" si="241"/>
        <v>0</v>
      </c>
      <c r="FU146" s="90">
        <v>0</v>
      </c>
      <c r="FV146" s="518">
        <v>0</v>
      </c>
      <c r="FW146" s="87">
        <f t="shared" si="333"/>
        <v>0</v>
      </c>
      <c r="FX146" s="665">
        <v>0</v>
      </c>
      <c r="FY146" s="90">
        <f t="shared" si="335"/>
        <v>0</v>
      </c>
      <c r="FZ146" s="515">
        <f t="shared" si="322"/>
        <v>0</v>
      </c>
      <c r="GA146" s="90">
        <f t="shared" si="247"/>
        <v>0</v>
      </c>
      <c r="GB146" s="518">
        <f t="shared" si="248"/>
        <v>0</v>
      </c>
      <c r="GC146" s="90"/>
      <c r="GD146" s="518"/>
      <c r="GE146" s="87"/>
      <c r="GF146" s="515"/>
      <c r="GG146" s="87">
        <f t="shared" si="336"/>
        <v>0</v>
      </c>
      <c r="GH146" s="515">
        <f t="shared" si="323"/>
        <v>0</v>
      </c>
      <c r="GI146" s="90">
        <f t="shared" si="243"/>
        <v>39795.1054</v>
      </c>
      <c r="GJ146" s="518">
        <f t="shared" si="244"/>
        <v>1</v>
      </c>
      <c r="GK146" s="90">
        <f t="shared" si="337"/>
        <v>0</v>
      </c>
      <c r="GL146" s="518">
        <v>0</v>
      </c>
      <c r="GM146" s="90">
        <f t="shared" si="334"/>
        <v>0</v>
      </c>
      <c r="GN146" s="518">
        <v>0</v>
      </c>
      <c r="GO146" s="90">
        <f>FF146</f>
        <v>39795.1054</v>
      </c>
      <c r="GP146" s="518">
        <f t="shared" si="294"/>
        <v>1</v>
      </c>
      <c r="GQ146" s="143"/>
      <c r="GR146" s="143"/>
      <c r="GS146" s="143"/>
      <c r="GT146" s="143"/>
      <c r="GU146" s="144">
        <f t="shared" si="324"/>
        <v>50000</v>
      </c>
      <c r="GV146" s="144"/>
      <c r="GW146" s="144"/>
      <c r="GX146" s="144">
        <v>50000</v>
      </c>
      <c r="GY146" s="144"/>
      <c r="GZ146" s="144"/>
      <c r="HA146" s="144"/>
      <c r="HB146" s="144"/>
      <c r="HC146" s="144"/>
      <c r="HD146" s="144"/>
      <c r="HE146" s="144"/>
      <c r="HF146" s="144"/>
      <c r="HG146" s="144">
        <f t="shared" si="326"/>
        <v>0</v>
      </c>
      <c r="HH146" s="144"/>
      <c r="HI146" s="144"/>
      <c r="HJ146" s="144">
        <f>HR146-GX146</f>
        <v>0</v>
      </c>
      <c r="HK146" s="144">
        <f>HL146+HN146</f>
        <v>0</v>
      </c>
      <c r="HL146" s="144"/>
      <c r="HM146" s="144"/>
      <c r="HN146" s="144">
        <f>IH146-HB146</f>
        <v>0</v>
      </c>
      <c r="HO146" s="144">
        <f t="shared" si="327"/>
        <v>50000</v>
      </c>
      <c r="HP146" s="144"/>
      <c r="HQ146" s="144"/>
      <c r="HR146" s="144">
        <f>GX146</f>
        <v>50000</v>
      </c>
      <c r="HS146" s="144">
        <f t="shared" si="328"/>
        <v>0</v>
      </c>
      <c r="HT146" s="144"/>
      <c r="HU146" s="144"/>
      <c r="HV146" s="144">
        <v>0</v>
      </c>
      <c r="HW146" s="144">
        <f>HX146+HZ146</f>
        <v>0</v>
      </c>
      <c r="HX146" s="144"/>
      <c r="HY146" s="144"/>
      <c r="HZ146" s="144">
        <f>IT146-HN146</f>
        <v>0</v>
      </c>
      <c r="IA146" s="144">
        <f t="shared" si="329"/>
        <v>0</v>
      </c>
      <c r="IB146" s="144"/>
      <c r="IC146" s="144"/>
      <c r="ID146" s="144">
        <v>0</v>
      </c>
      <c r="IE146" s="548" t="s">
        <v>239</v>
      </c>
      <c r="IF146" s="145" t="s">
        <v>238</v>
      </c>
      <c r="IG146" s="145"/>
      <c r="IH146" s="145"/>
    </row>
    <row r="147" spans="2:242" s="225" customFormat="1" ht="117.75" hidden="1" customHeight="1" x14ac:dyDescent="0.2">
      <c r="B147" s="186" t="s">
        <v>79</v>
      </c>
      <c r="C147" s="226" t="s">
        <v>240</v>
      </c>
      <c r="D147" s="222"/>
      <c r="E147" s="143"/>
      <c r="F147" s="143"/>
      <c r="G147" s="143"/>
      <c r="H147" s="143"/>
      <c r="I147" s="143"/>
      <c r="J147" s="143"/>
      <c r="K147" s="143"/>
      <c r="L147" s="143"/>
      <c r="M147" s="143"/>
      <c r="N147" s="143"/>
      <c r="O147" s="143"/>
      <c r="P147" s="143"/>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68"/>
      <c r="AL147" s="168"/>
      <c r="AM147" s="223"/>
      <c r="AN147" s="223"/>
      <c r="AO147" s="166"/>
      <c r="AP147" s="144"/>
      <c r="AQ147" s="144"/>
      <c r="AR147" s="168"/>
      <c r="AS147" s="144"/>
      <c r="AT147" s="144"/>
      <c r="AU147" s="144"/>
      <c r="AV147" s="144"/>
      <c r="AW147" s="144"/>
      <c r="AX147" s="144"/>
      <c r="AY147" s="144"/>
      <c r="AZ147" s="144"/>
      <c r="BA147" s="144"/>
      <c r="BB147" s="144"/>
      <c r="BC147" s="144"/>
      <c r="BD147" s="144"/>
      <c r="BE147" s="144"/>
      <c r="BF147" s="144"/>
      <c r="BG147" s="144"/>
      <c r="BH147" s="144"/>
      <c r="BI147" s="144"/>
      <c r="BJ147" s="144"/>
      <c r="BK147" s="167"/>
      <c r="BL147" s="168"/>
      <c r="BM147" s="168"/>
      <c r="BN147" s="168"/>
      <c r="BO147" s="168"/>
      <c r="BP147" s="168"/>
      <c r="BQ147" s="168"/>
      <c r="BR147" s="168"/>
      <c r="BS147" s="168"/>
      <c r="BT147" s="168"/>
      <c r="BU147" s="168"/>
      <c r="BV147" s="144"/>
      <c r="BW147" s="144"/>
      <c r="BX147" s="144"/>
      <c r="BY147" s="144"/>
      <c r="BZ147" s="144"/>
      <c r="CA147" s="144"/>
      <c r="CB147" s="144"/>
      <c r="CC147" s="144"/>
      <c r="CD147" s="144"/>
      <c r="CE147" s="168"/>
      <c r="CF147" s="168"/>
      <c r="CG147" s="144"/>
      <c r="CH147" s="144"/>
      <c r="CI147" s="144"/>
      <c r="CJ147" s="144"/>
      <c r="CK147" s="144"/>
      <c r="CL147" s="144"/>
      <c r="CM147" s="144"/>
      <c r="CN147" s="144"/>
      <c r="CO147" s="144"/>
      <c r="CP147" s="144"/>
      <c r="CQ147" s="144"/>
      <c r="CR147" s="144"/>
      <c r="CS147" s="144"/>
      <c r="CT147" s="144"/>
      <c r="CU147" s="144"/>
      <c r="CV147" s="144"/>
      <c r="CW147" s="144"/>
      <c r="CX147" s="144"/>
      <c r="CY147" s="227"/>
      <c r="CZ147" s="144"/>
      <c r="DA147" s="144"/>
      <c r="DB147" s="144"/>
      <c r="DC147" s="144"/>
      <c r="DD147" s="144"/>
      <c r="DE147" s="144"/>
      <c r="DF147" s="144"/>
      <c r="DG147" s="144"/>
      <c r="DH147" s="144"/>
      <c r="DI147" s="144"/>
      <c r="DJ147" s="144"/>
      <c r="DK147" s="144"/>
      <c r="DL147" s="144"/>
      <c r="DM147" s="144"/>
      <c r="DN147" s="144"/>
      <c r="DO147" s="144"/>
      <c r="DP147" s="144"/>
      <c r="DQ147" s="144"/>
      <c r="DR147" s="144"/>
      <c r="DS147" s="144"/>
      <c r="DT147" s="144"/>
      <c r="DU147" s="144"/>
      <c r="DV147" s="144"/>
      <c r="DW147" s="144"/>
      <c r="DX147" s="144"/>
      <c r="DY147" s="144"/>
      <c r="DZ147" s="144"/>
      <c r="EA147" s="144"/>
      <c r="EB147" s="144"/>
      <c r="EC147" s="144"/>
      <c r="ED147" s="144"/>
      <c r="EE147" s="144"/>
      <c r="EF147" s="144"/>
      <c r="EG147" s="144">
        <f t="shared" si="318"/>
        <v>0</v>
      </c>
      <c r="EH147" s="144"/>
      <c r="EI147" s="144"/>
      <c r="EJ147" s="144">
        <v>0</v>
      </c>
      <c r="EK147" s="144">
        <f t="shared" si="319"/>
        <v>0</v>
      </c>
      <c r="EL147" s="144"/>
      <c r="EM147" s="144"/>
      <c r="EN147" s="144"/>
      <c r="EO147" s="144">
        <f t="shared" si="331"/>
        <v>0</v>
      </c>
      <c r="EP147" s="144"/>
      <c r="EQ147" s="144"/>
      <c r="ER147" s="144"/>
      <c r="ES147" s="144">
        <f t="shared" si="314"/>
        <v>0</v>
      </c>
      <c r="ET147" s="164"/>
      <c r="EU147" s="164"/>
      <c r="EV147" s="144">
        <f>EE147+EN147</f>
        <v>0</v>
      </c>
      <c r="EW147" s="144"/>
      <c r="EX147" s="144"/>
      <c r="EY147" s="144"/>
      <c r="EZ147" s="144"/>
      <c r="FA147" s="144"/>
      <c r="FB147" s="144"/>
      <c r="FC147" s="143">
        <f t="shared" si="320"/>
        <v>0</v>
      </c>
      <c r="FD147" s="143"/>
      <c r="FE147" s="143"/>
      <c r="FF147" s="143">
        <v>0</v>
      </c>
      <c r="FG147" s="143">
        <f>FH147+FJ147</f>
        <v>0</v>
      </c>
      <c r="FH147" s="143"/>
      <c r="FI147" s="143"/>
      <c r="FJ147" s="143">
        <f>FR147-FF147</f>
        <v>0</v>
      </c>
      <c r="FK147" s="143">
        <f t="shared" si="332"/>
        <v>0</v>
      </c>
      <c r="FL147" s="143"/>
      <c r="FM147" s="143"/>
      <c r="FN147" s="143"/>
      <c r="FO147" s="143">
        <f t="shared" si="321"/>
        <v>0</v>
      </c>
      <c r="FP147" s="143"/>
      <c r="FQ147" s="143"/>
      <c r="FR147" s="143">
        <v>0</v>
      </c>
      <c r="FS147" s="90">
        <f t="shared" ref="FS147:FS209" si="338">FU147+FW147+FY147</f>
        <v>0</v>
      </c>
      <c r="FT147" s="518" t="e">
        <f t="shared" si="241"/>
        <v>#DIV/0!</v>
      </c>
      <c r="FU147" s="90">
        <v>0</v>
      </c>
      <c r="FV147" s="518" t="e">
        <f t="shared" si="242"/>
        <v>#DIV/0!</v>
      </c>
      <c r="FW147" s="87">
        <f t="shared" si="333"/>
        <v>0</v>
      </c>
      <c r="FX147" s="665" t="e">
        <f>FW147/FE147</f>
        <v>#DIV/0!</v>
      </c>
      <c r="FY147" s="90">
        <f t="shared" si="335"/>
        <v>0</v>
      </c>
      <c r="FZ147" s="515" t="e">
        <f t="shared" si="322"/>
        <v>#DIV/0!</v>
      </c>
      <c r="GA147" s="90">
        <f t="shared" si="247"/>
        <v>0</v>
      </c>
      <c r="GB147" s="518" t="e">
        <f t="shared" si="248"/>
        <v>#DIV/0!</v>
      </c>
      <c r="GC147" s="90"/>
      <c r="GD147" s="518"/>
      <c r="GE147" s="87"/>
      <c r="GF147" s="515"/>
      <c r="GG147" s="87">
        <f t="shared" si="336"/>
        <v>0</v>
      </c>
      <c r="GH147" s="515" t="e">
        <f t="shared" si="323"/>
        <v>#DIV/0!</v>
      </c>
      <c r="GI147" s="90">
        <f t="shared" si="243"/>
        <v>0</v>
      </c>
      <c r="GJ147" s="518" t="e">
        <f t="shared" si="244"/>
        <v>#DIV/0!</v>
      </c>
      <c r="GK147" s="90">
        <f t="shared" si="337"/>
        <v>0</v>
      </c>
      <c r="GL147" s="518" t="e">
        <f t="shared" si="245"/>
        <v>#DIV/0!</v>
      </c>
      <c r="GM147" s="90">
        <f t="shared" si="334"/>
        <v>0</v>
      </c>
      <c r="GN147" s="518" t="e">
        <f>GM147/FE147</f>
        <v>#DIV/0!</v>
      </c>
      <c r="GO147" s="90">
        <f>GO395+GO444</f>
        <v>0</v>
      </c>
      <c r="GP147" s="518" t="e">
        <f t="shared" si="294"/>
        <v>#DIV/0!</v>
      </c>
      <c r="GQ147" s="144"/>
      <c r="GR147" s="144"/>
      <c r="GS147" s="144"/>
      <c r="GT147" s="144"/>
      <c r="GU147" s="144">
        <f>GV147+GW147+GX147</f>
        <v>0</v>
      </c>
      <c r="GV147" s="144"/>
      <c r="GW147" s="144"/>
      <c r="GX147" s="144">
        <v>0</v>
      </c>
      <c r="GY147" s="144"/>
      <c r="GZ147" s="144"/>
      <c r="HA147" s="144"/>
      <c r="HB147" s="144"/>
      <c r="HC147" s="144"/>
      <c r="HD147" s="144"/>
      <c r="HE147" s="144"/>
      <c r="HF147" s="144"/>
      <c r="HG147" s="144">
        <f>HH147+HI147+HJ147</f>
        <v>0</v>
      </c>
      <c r="HH147" s="144"/>
      <c r="HI147" s="144"/>
      <c r="HJ147" s="144">
        <f>HR147-GX147</f>
        <v>0</v>
      </c>
      <c r="HK147" s="144">
        <f>HL147+HM147+HN147</f>
        <v>0</v>
      </c>
      <c r="HL147" s="144"/>
      <c r="HM147" s="144"/>
      <c r="HN147" s="144">
        <f>IH147-HB147</f>
        <v>0</v>
      </c>
      <c r="HO147" s="144">
        <f>HP147+HQ147+HR147</f>
        <v>0</v>
      </c>
      <c r="HP147" s="144"/>
      <c r="HQ147" s="144"/>
      <c r="HR147" s="144">
        <v>0</v>
      </c>
      <c r="HS147" s="144">
        <f>HT147+HU147+HV147</f>
        <v>0</v>
      </c>
      <c r="HT147" s="144"/>
      <c r="HU147" s="144"/>
      <c r="HV147" s="144">
        <v>0</v>
      </c>
      <c r="HW147" s="144">
        <f>HX147+HY147+HZ147</f>
        <v>0</v>
      </c>
      <c r="HX147" s="144"/>
      <c r="HY147" s="144"/>
      <c r="HZ147" s="144">
        <f>IT147-HN147</f>
        <v>0</v>
      </c>
      <c r="IA147" s="144">
        <f>IB147+IC147+ID147</f>
        <v>0</v>
      </c>
      <c r="IB147" s="144"/>
      <c r="IC147" s="144"/>
      <c r="ID147" s="144">
        <v>0</v>
      </c>
      <c r="IE147" s="548" t="s">
        <v>241</v>
      </c>
      <c r="IF147" s="145"/>
      <c r="IG147" s="145"/>
      <c r="IH147" s="145"/>
    </row>
    <row r="148" spans="2:242" s="225" customFormat="1" ht="72.75" customHeight="1" x14ac:dyDescent="0.2">
      <c r="B148" s="186" t="s">
        <v>79</v>
      </c>
      <c r="C148" s="226" t="s">
        <v>242</v>
      </c>
      <c r="D148" s="222"/>
      <c r="E148" s="143"/>
      <c r="F148" s="143"/>
      <c r="G148" s="143"/>
      <c r="H148" s="143"/>
      <c r="I148" s="143"/>
      <c r="J148" s="143"/>
      <c r="K148" s="143"/>
      <c r="L148" s="143"/>
      <c r="M148" s="143"/>
      <c r="N148" s="143"/>
      <c r="O148" s="143"/>
      <c r="P148" s="143"/>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68"/>
      <c r="AL148" s="168"/>
      <c r="AM148" s="223"/>
      <c r="AN148" s="223"/>
      <c r="AO148" s="166"/>
      <c r="AP148" s="144"/>
      <c r="AQ148" s="144"/>
      <c r="AR148" s="168"/>
      <c r="AS148" s="144"/>
      <c r="AT148" s="144"/>
      <c r="AU148" s="144"/>
      <c r="AV148" s="144"/>
      <c r="AW148" s="144"/>
      <c r="AX148" s="144"/>
      <c r="AY148" s="144"/>
      <c r="AZ148" s="144"/>
      <c r="BA148" s="144"/>
      <c r="BB148" s="144"/>
      <c r="BC148" s="144"/>
      <c r="BD148" s="144"/>
      <c r="BE148" s="144"/>
      <c r="BF148" s="144"/>
      <c r="BG148" s="144"/>
      <c r="BH148" s="144"/>
      <c r="BI148" s="144"/>
      <c r="BJ148" s="144"/>
      <c r="BK148" s="167"/>
      <c r="BL148" s="168"/>
      <c r="BM148" s="168"/>
      <c r="BN148" s="168"/>
      <c r="BO148" s="168"/>
      <c r="BP148" s="168"/>
      <c r="BQ148" s="168"/>
      <c r="BR148" s="168"/>
      <c r="BS148" s="168"/>
      <c r="BT148" s="168"/>
      <c r="BU148" s="168"/>
      <c r="BV148" s="144"/>
      <c r="BW148" s="144"/>
      <c r="BX148" s="144"/>
      <c r="BY148" s="144"/>
      <c r="BZ148" s="144"/>
      <c r="CA148" s="144"/>
      <c r="CB148" s="144"/>
      <c r="CC148" s="144"/>
      <c r="CD148" s="144"/>
      <c r="CE148" s="168"/>
      <c r="CF148" s="168"/>
      <c r="CG148" s="144"/>
      <c r="CH148" s="144"/>
      <c r="CI148" s="144"/>
      <c r="CJ148" s="144"/>
      <c r="CK148" s="144"/>
      <c r="CL148" s="144"/>
      <c r="CM148" s="144"/>
      <c r="CN148" s="144"/>
      <c r="CO148" s="144"/>
      <c r="CP148" s="144"/>
      <c r="CQ148" s="144"/>
      <c r="CR148" s="144"/>
      <c r="CS148" s="144"/>
      <c r="CT148" s="144"/>
      <c r="CU148" s="144"/>
      <c r="CV148" s="144"/>
      <c r="CW148" s="144"/>
      <c r="CX148" s="144"/>
      <c r="CY148" s="227"/>
      <c r="CZ148" s="144"/>
      <c r="DA148" s="144"/>
      <c r="DB148" s="144"/>
      <c r="DC148" s="144"/>
      <c r="DD148" s="144"/>
      <c r="DE148" s="144"/>
      <c r="DF148" s="144"/>
      <c r="DG148" s="144"/>
      <c r="DH148" s="144"/>
      <c r="DI148" s="144"/>
      <c r="DJ148" s="144"/>
      <c r="DK148" s="144"/>
      <c r="DL148" s="144"/>
      <c r="DM148" s="144"/>
      <c r="DN148" s="144"/>
      <c r="DO148" s="144"/>
      <c r="DP148" s="144"/>
      <c r="DQ148" s="144"/>
      <c r="DR148" s="144"/>
      <c r="DS148" s="144"/>
      <c r="DT148" s="144"/>
      <c r="DU148" s="144"/>
      <c r="DV148" s="144"/>
      <c r="DW148" s="144"/>
      <c r="DX148" s="144"/>
      <c r="DY148" s="144"/>
      <c r="DZ148" s="144"/>
      <c r="EA148" s="144"/>
      <c r="EB148" s="144"/>
      <c r="EC148" s="144"/>
      <c r="ED148" s="144"/>
      <c r="EE148" s="144"/>
      <c r="EF148" s="144"/>
      <c r="EG148" s="144">
        <f t="shared" si="318"/>
        <v>23266.951980000002</v>
      </c>
      <c r="EH148" s="144"/>
      <c r="EI148" s="144"/>
      <c r="EJ148" s="144">
        <v>23266.951980000002</v>
      </c>
      <c r="EK148" s="144"/>
      <c r="EL148" s="144"/>
      <c r="EM148" s="144"/>
      <c r="EN148" s="144"/>
      <c r="EO148" s="144"/>
      <c r="EP148" s="144"/>
      <c r="EQ148" s="144"/>
      <c r="ER148" s="144"/>
      <c r="ES148" s="144">
        <f t="shared" si="314"/>
        <v>12897.993709999999</v>
      </c>
      <c r="ET148" s="164"/>
      <c r="EU148" s="164"/>
      <c r="EV148" s="144">
        <f>FR148-EJ148</f>
        <v>12897.993709999999</v>
      </c>
      <c r="EW148" s="144"/>
      <c r="EX148" s="144"/>
      <c r="EY148" s="144"/>
      <c r="EZ148" s="144"/>
      <c r="FA148" s="144"/>
      <c r="FB148" s="144"/>
      <c r="FC148" s="143">
        <f t="shared" si="320"/>
        <v>36164.945670000001</v>
      </c>
      <c r="FD148" s="143"/>
      <c r="FE148" s="143"/>
      <c r="FF148" s="143">
        <v>36164.945670000001</v>
      </c>
      <c r="FG148" s="143">
        <f>FH148+FJ148</f>
        <v>1.9999999494757503E-5</v>
      </c>
      <c r="FH148" s="143"/>
      <c r="FI148" s="143"/>
      <c r="FJ148" s="143">
        <f>FR148-FF148</f>
        <v>1.9999999494757503E-5</v>
      </c>
      <c r="FK148" s="143"/>
      <c r="FL148" s="143"/>
      <c r="FM148" s="143"/>
      <c r="FN148" s="143"/>
      <c r="FO148" s="143">
        <f t="shared" si="321"/>
        <v>36164.94569</v>
      </c>
      <c r="FP148" s="143"/>
      <c r="FQ148" s="143"/>
      <c r="FR148" s="143">
        <v>36164.94569</v>
      </c>
      <c r="FS148" s="90">
        <f t="shared" si="338"/>
        <v>12054.89862</v>
      </c>
      <c r="FT148" s="518">
        <f t="shared" si="241"/>
        <v>0.33333103082745486</v>
      </c>
      <c r="FU148" s="90">
        <v>0</v>
      </c>
      <c r="FV148" s="518">
        <v>0</v>
      </c>
      <c r="FW148" s="87">
        <f t="shared" si="333"/>
        <v>0</v>
      </c>
      <c r="FX148" s="665">
        <v>0</v>
      </c>
      <c r="FY148" s="90">
        <f>GG148</f>
        <v>12054.89862</v>
      </c>
      <c r="FZ148" s="515">
        <f t="shared" si="322"/>
        <v>0.33333103082745486</v>
      </c>
      <c r="GA148" s="90">
        <f t="shared" si="247"/>
        <v>12054.89862</v>
      </c>
      <c r="GB148" s="518">
        <f t="shared" si="248"/>
        <v>0.33333103082745486</v>
      </c>
      <c r="GC148" s="90"/>
      <c r="GD148" s="518"/>
      <c r="GE148" s="87"/>
      <c r="GF148" s="515"/>
      <c r="GG148" s="87">
        <v>12054.89862</v>
      </c>
      <c r="GH148" s="515">
        <f t="shared" si="323"/>
        <v>0.33333103082745486</v>
      </c>
      <c r="GI148" s="90">
        <f t="shared" si="243"/>
        <v>36164.945670000001</v>
      </c>
      <c r="GJ148" s="518">
        <f t="shared" si="244"/>
        <v>1</v>
      </c>
      <c r="GK148" s="90">
        <f t="shared" si="337"/>
        <v>0</v>
      </c>
      <c r="GL148" s="518">
        <v>0</v>
      </c>
      <c r="GM148" s="90">
        <f t="shared" si="334"/>
        <v>0</v>
      </c>
      <c r="GN148" s="518">
        <v>0</v>
      </c>
      <c r="GO148" s="90">
        <f>FF148</f>
        <v>36164.945670000001</v>
      </c>
      <c r="GP148" s="518">
        <f t="shared" si="294"/>
        <v>1</v>
      </c>
      <c r="GQ148" s="143"/>
      <c r="GR148" s="143"/>
      <c r="GS148" s="143"/>
      <c r="GT148" s="143"/>
      <c r="GU148" s="144">
        <f>GV148+GW148+GX148</f>
        <v>0</v>
      </c>
      <c r="GV148" s="144"/>
      <c r="GW148" s="144"/>
      <c r="GX148" s="144">
        <v>0</v>
      </c>
      <c r="GY148" s="144"/>
      <c r="GZ148" s="144"/>
      <c r="HA148" s="144"/>
      <c r="HB148" s="144"/>
      <c r="HC148" s="144"/>
      <c r="HD148" s="144"/>
      <c r="HE148" s="144"/>
      <c r="HF148" s="144"/>
      <c r="HG148" s="144"/>
      <c r="HH148" s="144"/>
      <c r="HI148" s="144"/>
      <c r="HJ148" s="144"/>
      <c r="HK148" s="144">
        <f>HL148+HM148+HN148</f>
        <v>0</v>
      </c>
      <c r="HL148" s="144"/>
      <c r="HM148" s="144"/>
      <c r="HN148" s="144">
        <v>0</v>
      </c>
      <c r="HO148" s="144">
        <f>HP148+HQ148+HR148</f>
        <v>0</v>
      </c>
      <c r="HP148" s="144"/>
      <c r="HQ148" s="144"/>
      <c r="HR148" s="144">
        <v>0</v>
      </c>
      <c r="HS148" s="144">
        <f>HT148+HU148+HV148</f>
        <v>0</v>
      </c>
      <c r="HT148" s="144"/>
      <c r="HU148" s="144"/>
      <c r="HV148" s="144">
        <v>0</v>
      </c>
      <c r="HW148" s="144">
        <f>HX148+HY148+HZ148</f>
        <v>0</v>
      </c>
      <c r="HX148" s="144"/>
      <c r="HY148" s="144"/>
      <c r="HZ148" s="144">
        <v>0</v>
      </c>
      <c r="IA148" s="144">
        <f>IB148+IC148+ID148</f>
        <v>0</v>
      </c>
      <c r="IB148" s="144"/>
      <c r="IC148" s="144"/>
      <c r="ID148" s="144">
        <v>0</v>
      </c>
      <c r="IE148" s="548" t="s">
        <v>243</v>
      </c>
      <c r="IF148" s="145" t="s">
        <v>229</v>
      </c>
      <c r="IG148" s="145"/>
      <c r="IH148" s="145"/>
    </row>
    <row r="149" spans="2:242" s="225" customFormat="1" ht="105.75" customHeight="1" x14ac:dyDescent="0.2">
      <c r="B149" s="186" t="s">
        <v>82</v>
      </c>
      <c r="C149" s="226" t="s">
        <v>244</v>
      </c>
      <c r="D149" s="222"/>
      <c r="E149" s="143"/>
      <c r="F149" s="143"/>
      <c r="G149" s="143"/>
      <c r="H149" s="143"/>
      <c r="I149" s="143"/>
      <c r="J149" s="143"/>
      <c r="K149" s="143"/>
      <c r="L149" s="143"/>
      <c r="M149" s="143"/>
      <c r="N149" s="143"/>
      <c r="O149" s="143"/>
      <c r="P149" s="143"/>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68"/>
      <c r="AL149" s="168"/>
      <c r="AM149" s="223"/>
      <c r="AN149" s="223"/>
      <c r="AO149" s="166"/>
      <c r="AP149" s="144"/>
      <c r="AQ149" s="144"/>
      <c r="AR149" s="168"/>
      <c r="AS149" s="144"/>
      <c r="AT149" s="144"/>
      <c r="AU149" s="144"/>
      <c r="AV149" s="144"/>
      <c r="AW149" s="144"/>
      <c r="AX149" s="144"/>
      <c r="AY149" s="144"/>
      <c r="AZ149" s="144"/>
      <c r="BA149" s="144"/>
      <c r="BB149" s="144"/>
      <c r="BC149" s="144"/>
      <c r="BD149" s="144"/>
      <c r="BE149" s="144"/>
      <c r="BF149" s="144"/>
      <c r="BG149" s="144"/>
      <c r="BH149" s="144"/>
      <c r="BI149" s="144"/>
      <c r="BJ149" s="144"/>
      <c r="BK149" s="167"/>
      <c r="BL149" s="168"/>
      <c r="BM149" s="168"/>
      <c r="BN149" s="168"/>
      <c r="BO149" s="168"/>
      <c r="BP149" s="168"/>
      <c r="BQ149" s="168"/>
      <c r="BR149" s="168"/>
      <c r="BS149" s="168"/>
      <c r="BT149" s="168"/>
      <c r="BU149" s="168"/>
      <c r="BV149" s="144"/>
      <c r="BW149" s="144"/>
      <c r="BX149" s="144"/>
      <c r="BY149" s="144"/>
      <c r="BZ149" s="144"/>
      <c r="CA149" s="144"/>
      <c r="CB149" s="144"/>
      <c r="CC149" s="144"/>
      <c r="CD149" s="144"/>
      <c r="CE149" s="168"/>
      <c r="CF149" s="168"/>
      <c r="CG149" s="144"/>
      <c r="CH149" s="144"/>
      <c r="CI149" s="144"/>
      <c r="CJ149" s="144"/>
      <c r="CK149" s="144"/>
      <c r="CL149" s="144"/>
      <c r="CM149" s="144"/>
      <c r="CN149" s="144"/>
      <c r="CO149" s="144"/>
      <c r="CP149" s="144"/>
      <c r="CQ149" s="144"/>
      <c r="CR149" s="144"/>
      <c r="CS149" s="144"/>
      <c r="CT149" s="144"/>
      <c r="CU149" s="144"/>
      <c r="CV149" s="144"/>
      <c r="CW149" s="144"/>
      <c r="CX149" s="144"/>
      <c r="CY149" s="227"/>
      <c r="CZ149" s="144"/>
      <c r="DA149" s="144"/>
      <c r="DB149" s="144"/>
      <c r="DC149" s="144"/>
      <c r="DD149" s="144"/>
      <c r="DE149" s="144"/>
      <c r="DF149" s="144"/>
      <c r="DG149" s="144"/>
      <c r="DH149" s="144"/>
      <c r="DI149" s="144"/>
      <c r="DJ149" s="144"/>
      <c r="DK149" s="144"/>
      <c r="DL149" s="144"/>
      <c r="DM149" s="144"/>
      <c r="DN149" s="144"/>
      <c r="DO149" s="144"/>
      <c r="DP149" s="144"/>
      <c r="DQ149" s="144"/>
      <c r="DR149" s="144"/>
      <c r="DS149" s="144"/>
      <c r="DT149" s="144"/>
      <c r="DU149" s="144"/>
      <c r="DV149" s="144"/>
      <c r="DW149" s="144"/>
      <c r="DX149" s="144"/>
      <c r="DY149" s="144"/>
      <c r="DZ149" s="144"/>
      <c r="EA149" s="144"/>
      <c r="EB149" s="144"/>
      <c r="EC149" s="144"/>
      <c r="ED149" s="144"/>
      <c r="EE149" s="144"/>
      <c r="EF149" s="144"/>
      <c r="EG149" s="144">
        <f t="shared" si="318"/>
        <v>20424.5</v>
      </c>
      <c r="EH149" s="144"/>
      <c r="EI149" s="144"/>
      <c r="EJ149" s="144">
        <v>20424.5</v>
      </c>
      <c r="EK149" s="144"/>
      <c r="EL149" s="144"/>
      <c r="EM149" s="144"/>
      <c r="EN149" s="144"/>
      <c r="EO149" s="144"/>
      <c r="EP149" s="144"/>
      <c r="EQ149" s="144"/>
      <c r="ER149" s="144"/>
      <c r="ES149" s="144">
        <f t="shared" si="314"/>
        <v>0</v>
      </c>
      <c r="ET149" s="164"/>
      <c r="EU149" s="164"/>
      <c r="EV149" s="144">
        <f>FR149-EJ149</f>
        <v>0</v>
      </c>
      <c r="EW149" s="144"/>
      <c r="EX149" s="144"/>
      <c r="EY149" s="144"/>
      <c r="EZ149" s="144"/>
      <c r="FA149" s="144"/>
      <c r="FB149" s="144"/>
      <c r="FC149" s="143">
        <f t="shared" si="320"/>
        <v>20424.5</v>
      </c>
      <c r="FD149" s="143"/>
      <c r="FE149" s="143"/>
      <c r="FF149" s="143">
        <v>20424.5</v>
      </c>
      <c r="FG149" s="143"/>
      <c r="FH149" s="143"/>
      <c r="FI149" s="143"/>
      <c r="FJ149" s="143"/>
      <c r="FK149" s="143"/>
      <c r="FL149" s="143"/>
      <c r="FM149" s="143"/>
      <c r="FN149" s="143"/>
      <c r="FO149" s="143">
        <f t="shared" si="321"/>
        <v>20424.5</v>
      </c>
      <c r="FP149" s="143"/>
      <c r="FQ149" s="143"/>
      <c r="FR149" s="143">
        <f>EJ149</f>
        <v>20424.5</v>
      </c>
      <c r="FS149" s="90">
        <f t="shared" si="338"/>
        <v>0</v>
      </c>
      <c r="FT149" s="518">
        <f t="shared" si="241"/>
        <v>0</v>
      </c>
      <c r="FU149" s="90">
        <v>0</v>
      </c>
      <c r="FV149" s="518">
        <v>0</v>
      </c>
      <c r="FW149" s="87">
        <f t="shared" si="333"/>
        <v>0</v>
      </c>
      <c r="FX149" s="665">
        <v>0</v>
      </c>
      <c r="FY149" s="90">
        <f t="shared" si="335"/>
        <v>0</v>
      </c>
      <c r="FZ149" s="515">
        <f t="shared" si="322"/>
        <v>0</v>
      </c>
      <c r="GA149" s="90">
        <f t="shared" si="247"/>
        <v>0</v>
      </c>
      <c r="GB149" s="518">
        <f t="shared" si="248"/>
        <v>0</v>
      </c>
      <c r="GC149" s="90"/>
      <c r="GD149" s="518"/>
      <c r="GE149" s="87"/>
      <c r="GF149" s="515"/>
      <c r="GG149" s="87">
        <f t="shared" si="336"/>
        <v>0</v>
      </c>
      <c r="GH149" s="515">
        <f t="shared" si="323"/>
        <v>0</v>
      </c>
      <c r="GI149" s="90">
        <f t="shared" si="243"/>
        <v>20424.5</v>
      </c>
      <c r="GJ149" s="518">
        <f t="shared" si="244"/>
        <v>1</v>
      </c>
      <c r="GK149" s="90">
        <f t="shared" si="337"/>
        <v>0</v>
      </c>
      <c r="GL149" s="518">
        <v>0</v>
      </c>
      <c r="GM149" s="90">
        <f t="shared" si="334"/>
        <v>0</v>
      </c>
      <c r="GN149" s="518">
        <v>0</v>
      </c>
      <c r="GO149" s="90">
        <f>FF149</f>
        <v>20424.5</v>
      </c>
      <c r="GP149" s="518">
        <f t="shared" si="294"/>
        <v>1</v>
      </c>
      <c r="GQ149" s="143"/>
      <c r="GR149" s="143"/>
      <c r="GS149" s="143"/>
      <c r="GT149" s="143"/>
      <c r="GU149" s="144">
        <f>GV149+GW149+GX149</f>
        <v>136857.3498</v>
      </c>
      <c r="GV149" s="144"/>
      <c r="GW149" s="144"/>
      <c r="GX149" s="144">
        <v>136857.3498</v>
      </c>
      <c r="GY149" s="144"/>
      <c r="GZ149" s="144"/>
      <c r="HA149" s="144"/>
      <c r="HB149" s="144"/>
      <c r="HC149" s="144"/>
      <c r="HD149" s="144"/>
      <c r="HE149" s="144"/>
      <c r="HF149" s="144"/>
      <c r="HG149" s="144"/>
      <c r="HH149" s="144"/>
      <c r="HI149" s="144"/>
      <c r="HJ149" s="144"/>
      <c r="HK149" s="144">
        <f>HL149+HM149+HN149</f>
        <v>0</v>
      </c>
      <c r="HL149" s="144"/>
      <c r="HM149" s="144"/>
      <c r="HN149" s="144">
        <v>0</v>
      </c>
      <c r="HO149" s="144">
        <f>HP149+HQ149+HR149</f>
        <v>136857.3498</v>
      </c>
      <c r="HP149" s="144"/>
      <c r="HQ149" s="144"/>
      <c r="HR149" s="144">
        <f>GX149</f>
        <v>136857.3498</v>
      </c>
      <c r="HS149" s="144">
        <f>HT149+HU149+HV149</f>
        <v>0</v>
      </c>
      <c r="HT149" s="144"/>
      <c r="HU149" s="144"/>
      <c r="HV149" s="144">
        <v>0</v>
      </c>
      <c r="HW149" s="144">
        <f>HX149+HY149+HZ149</f>
        <v>0</v>
      </c>
      <c r="HX149" s="144"/>
      <c r="HY149" s="144"/>
      <c r="HZ149" s="144">
        <v>0</v>
      </c>
      <c r="IA149" s="144">
        <f>IB149+IC149+ID149</f>
        <v>0</v>
      </c>
      <c r="IB149" s="144"/>
      <c r="IC149" s="144"/>
      <c r="ID149" s="144">
        <v>0</v>
      </c>
      <c r="IE149" s="548" t="s">
        <v>245</v>
      </c>
      <c r="IF149" s="145" t="s">
        <v>238</v>
      </c>
      <c r="IG149" s="145"/>
      <c r="IH149" s="145"/>
    </row>
    <row r="150" spans="2:242" s="202" customFormat="1" ht="31.5" hidden="1" customHeight="1" x14ac:dyDescent="0.25">
      <c r="B150" s="100" t="s">
        <v>246</v>
      </c>
      <c r="C150" s="559" t="s">
        <v>247</v>
      </c>
      <c r="D150" s="102"/>
      <c r="E150" s="103"/>
      <c r="F150" s="103"/>
      <c r="G150" s="103"/>
      <c r="H150" s="103"/>
      <c r="I150" s="103"/>
      <c r="J150" s="103"/>
      <c r="K150" s="103"/>
      <c r="L150" s="103"/>
      <c r="M150" s="103"/>
      <c r="N150" s="103"/>
      <c r="O150" s="103"/>
      <c r="P150" s="103"/>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6"/>
      <c r="AL150" s="106"/>
      <c r="AM150" s="111"/>
      <c r="AN150" s="111"/>
      <c r="AO150" s="109"/>
      <c r="AP150" s="105"/>
      <c r="AQ150" s="105"/>
      <c r="AR150" s="106"/>
      <c r="AS150" s="105"/>
      <c r="AT150" s="105"/>
      <c r="AU150" s="105"/>
      <c r="AV150" s="105"/>
      <c r="AW150" s="105"/>
      <c r="AX150" s="105"/>
      <c r="AY150" s="105"/>
      <c r="AZ150" s="105"/>
      <c r="BA150" s="105"/>
      <c r="BB150" s="105"/>
      <c r="BC150" s="105"/>
      <c r="BD150" s="105"/>
      <c r="BE150" s="105"/>
      <c r="BF150" s="105"/>
      <c r="BG150" s="105"/>
      <c r="BH150" s="105"/>
      <c r="BI150" s="105"/>
      <c r="BJ150" s="105"/>
      <c r="BK150" s="110"/>
      <c r="BL150" s="106"/>
      <c r="BM150" s="106"/>
      <c r="BN150" s="106"/>
      <c r="BO150" s="106"/>
      <c r="BP150" s="106"/>
      <c r="BQ150" s="106"/>
      <c r="BR150" s="106"/>
      <c r="BS150" s="106"/>
      <c r="BT150" s="106"/>
      <c r="BU150" s="106"/>
      <c r="BV150" s="105"/>
      <c r="BW150" s="105"/>
      <c r="BX150" s="105"/>
      <c r="BY150" s="105"/>
      <c r="BZ150" s="105"/>
      <c r="CA150" s="105"/>
      <c r="CB150" s="105">
        <f t="shared" si="305"/>
        <v>138698.6</v>
      </c>
      <c r="CC150" s="105">
        <f t="shared" ref="CC150:CV150" si="339">CC151</f>
        <v>0</v>
      </c>
      <c r="CD150" s="105">
        <f t="shared" si="339"/>
        <v>138698.6</v>
      </c>
      <c r="CE150" s="105">
        <f t="shared" si="339"/>
        <v>0</v>
      </c>
      <c r="CF150" s="105">
        <f t="shared" si="339"/>
        <v>0</v>
      </c>
      <c r="CG150" s="105">
        <f t="shared" si="339"/>
        <v>0</v>
      </c>
      <c r="CH150" s="105">
        <f t="shared" si="339"/>
        <v>0</v>
      </c>
      <c r="CI150" s="105">
        <f t="shared" si="339"/>
        <v>0</v>
      </c>
      <c r="CJ150" s="105">
        <f t="shared" si="339"/>
        <v>0</v>
      </c>
      <c r="CK150" s="105">
        <f t="shared" si="339"/>
        <v>0</v>
      </c>
      <c r="CL150" s="105">
        <f t="shared" si="339"/>
        <v>0</v>
      </c>
      <c r="CM150" s="105">
        <f t="shared" si="339"/>
        <v>0</v>
      </c>
      <c r="CN150" s="105">
        <f t="shared" si="339"/>
        <v>0</v>
      </c>
      <c r="CO150" s="105">
        <f t="shared" si="339"/>
        <v>0</v>
      </c>
      <c r="CP150" s="105">
        <f t="shared" si="339"/>
        <v>0</v>
      </c>
      <c r="CQ150" s="105">
        <f t="shared" si="339"/>
        <v>0</v>
      </c>
      <c r="CR150" s="105">
        <f t="shared" si="339"/>
        <v>0</v>
      </c>
      <c r="CS150" s="105">
        <f t="shared" si="339"/>
        <v>0</v>
      </c>
      <c r="CT150" s="105">
        <f t="shared" si="339"/>
        <v>0</v>
      </c>
      <c r="CU150" s="105">
        <f t="shared" si="339"/>
        <v>0</v>
      </c>
      <c r="CV150" s="105">
        <f t="shared" si="339"/>
        <v>0</v>
      </c>
      <c r="CW150" s="105">
        <f t="shared" si="306"/>
        <v>0</v>
      </c>
      <c r="CX150" s="105">
        <f>CX151</f>
        <v>0</v>
      </c>
      <c r="CY150" s="561">
        <f>CY151</f>
        <v>0</v>
      </c>
      <c r="CZ150" s="105">
        <f t="shared" si="307"/>
        <v>184000</v>
      </c>
      <c r="DA150" s="105">
        <f>DA151</f>
        <v>0</v>
      </c>
      <c r="DB150" s="105">
        <f>DB151</f>
        <v>184000</v>
      </c>
      <c r="DC150" s="105"/>
      <c r="DD150" s="105"/>
      <c r="DE150" s="105"/>
      <c r="DF150" s="105">
        <f t="shared" si="308"/>
        <v>0</v>
      </c>
      <c r="DG150" s="105">
        <f>DG151</f>
        <v>0</v>
      </c>
      <c r="DH150" s="105">
        <f>DH151</f>
        <v>0</v>
      </c>
      <c r="DI150" s="105">
        <f t="shared" si="283"/>
        <v>0</v>
      </c>
      <c r="DJ150" s="105">
        <f>DJ151</f>
        <v>0</v>
      </c>
      <c r="DK150" s="105">
        <f>DK151</f>
        <v>0</v>
      </c>
      <c r="DL150" s="105">
        <f t="shared" si="309"/>
        <v>0</v>
      </c>
      <c r="DM150" s="105">
        <f>DM151</f>
        <v>0</v>
      </c>
      <c r="DN150" s="105">
        <f>DN151</f>
        <v>0</v>
      </c>
      <c r="DO150" s="105">
        <f t="shared" si="310"/>
        <v>0</v>
      </c>
      <c r="DP150" s="105">
        <f>DP151</f>
        <v>0</v>
      </c>
      <c r="DQ150" s="105">
        <f>DQ151</f>
        <v>0</v>
      </c>
      <c r="DR150" s="105">
        <f t="shared" si="311"/>
        <v>0</v>
      </c>
      <c r="DS150" s="105">
        <f>DS151</f>
        <v>0</v>
      </c>
      <c r="DT150" s="105">
        <f>DT151</f>
        <v>0</v>
      </c>
      <c r="DU150" s="105">
        <f t="shared" si="312"/>
        <v>0</v>
      </c>
      <c r="DV150" s="105">
        <f>DV151</f>
        <v>0</v>
      </c>
      <c r="DW150" s="105">
        <f>DW151</f>
        <v>0</v>
      </c>
      <c r="DX150" s="105">
        <f t="shared" si="313"/>
        <v>0</v>
      </c>
      <c r="DY150" s="105">
        <f>DY151</f>
        <v>0</v>
      </c>
      <c r="DZ150" s="105">
        <f>DZ151</f>
        <v>0</v>
      </c>
      <c r="EA150" s="105"/>
      <c r="EB150" s="105"/>
      <c r="EC150" s="105"/>
      <c r="ED150" s="105"/>
      <c r="EE150" s="105"/>
      <c r="EF150" s="105"/>
      <c r="EG150" s="105">
        <f t="shared" si="318"/>
        <v>0</v>
      </c>
      <c r="EH150" s="105"/>
      <c r="EI150" s="105"/>
      <c r="EJ150" s="105">
        <f>EJ151</f>
        <v>0</v>
      </c>
      <c r="EK150" s="105">
        <f t="shared" si="319"/>
        <v>0</v>
      </c>
      <c r="EL150" s="105">
        <f>EL151</f>
        <v>0</v>
      </c>
      <c r="EM150" s="105"/>
      <c r="EN150" s="105">
        <f>EN151</f>
        <v>0</v>
      </c>
      <c r="EO150" s="105">
        <f t="shared" si="331"/>
        <v>0</v>
      </c>
      <c r="EP150" s="105">
        <f>EP151</f>
        <v>0</v>
      </c>
      <c r="EQ150" s="105"/>
      <c r="ER150" s="105">
        <f>ER151</f>
        <v>0</v>
      </c>
      <c r="ES150" s="104">
        <f t="shared" si="314"/>
        <v>0</v>
      </c>
      <c r="ET150" s="106">
        <f>ET151+ET152</f>
        <v>0</v>
      </c>
      <c r="EU150" s="106"/>
      <c r="EV150" s="105">
        <f>EV151</f>
        <v>0</v>
      </c>
      <c r="EW150" s="105">
        <f t="shared" si="315"/>
        <v>0</v>
      </c>
      <c r="EX150" s="105">
        <f>EX151</f>
        <v>0</v>
      </c>
      <c r="EY150" s="105">
        <f>EY151</f>
        <v>0</v>
      </c>
      <c r="EZ150" s="105"/>
      <c r="FA150" s="105"/>
      <c r="FB150" s="105"/>
      <c r="FC150" s="103">
        <f t="shared" si="320"/>
        <v>0</v>
      </c>
      <c r="FD150" s="103"/>
      <c r="FE150" s="103"/>
      <c r="FF150" s="103">
        <f>FF151</f>
        <v>0</v>
      </c>
      <c r="FG150" s="103">
        <f t="shared" ref="FG150:FG156" si="340">FH150+FJ150</f>
        <v>0</v>
      </c>
      <c r="FH150" s="103">
        <f>FH151</f>
        <v>0</v>
      </c>
      <c r="FI150" s="103"/>
      <c r="FJ150" s="103">
        <f>FJ151</f>
        <v>0</v>
      </c>
      <c r="FK150" s="103">
        <f t="shared" si="332"/>
        <v>0</v>
      </c>
      <c r="FL150" s="103">
        <f>FL151</f>
        <v>0</v>
      </c>
      <c r="FM150" s="103"/>
      <c r="FN150" s="103">
        <f>FN151</f>
        <v>0</v>
      </c>
      <c r="FO150" s="103">
        <f t="shared" si="321"/>
        <v>0</v>
      </c>
      <c r="FP150" s="103"/>
      <c r="FQ150" s="103"/>
      <c r="FR150" s="103">
        <f>FR151</f>
        <v>0</v>
      </c>
      <c r="FS150" s="629">
        <f t="shared" si="338"/>
        <v>0</v>
      </c>
      <c r="FT150" s="595" t="e">
        <f t="shared" si="241"/>
        <v>#DIV/0!</v>
      </c>
      <c r="FU150" s="629">
        <v>0</v>
      </c>
      <c r="FV150" s="595" t="e">
        <f t="shared" si="242"/>
        <v>#DIV/0!</v>
      </c>
      <c r="FW150" s="522">
        <f t="shared" si="333"/>
        <v>0</v>
      </c>
      <c r="FX150" s="666" t="e">
        <f>FW150/FE150</f>
        <v>#DIV/0!</v>
      </c>
      <c r="FY150" s="629">
        <f t="shared" si="335"/>
        <v>0</v>
      </c>
      <c r="FZ150" s="666" t="e">
        <f t="shared" si="322"/>
        <v>#DIV/0!</v>
      </c>
      <c r="GA150" s="629">
        <f t="shared" si="247"/>
        <v>0</v>
      </c>
      <c r="GB150" s="595" t="e">
        <f t="shared" si="248"/>
        <v>#DIV/0!</v>
      </c>
      <c r="GC150" s="629"/>
      <c r="GD150" s="595"/>
      <c r="GE150" s="522"/>
      <c r="GF150" s="514"/>
      <c r="GG150" s="522">
        <f t="shared" si="336"/>
        <v>0</v>
      </c>
      <c r="GH150" s="514" t="e">
        <f t="shared" si="323"/>
        <v>#DIV/0!</v>
      </c>
      <c r="GI150" s="629">
        <f t="shared" si="243"/>
        <v>0</v>
      </c>
      <c r="GJ150" s="595" t="e">
        <f t="shared" si="244"/>
        <v>#DIV/0!</v>
      </c>
      <c r="GK150" s="629">
        <f t="shared" si="337"/>
        <v>0</v>
      </c>
      <c r="GL150" s="595" t="e">
        <f t="shared" si="245"/>
        <v>#DIV/0!</v>
      </c>
      <c r="GM150" s="629">
        <f t="shared" si="334"/>
        <v>0</v>
      </c>
      <c r="GN150" s="595" t="e">
        <f>GM150/FE150</f>
        <v>#DIV/0!</v>
      </c>
      <c r="GO150" s="629">
        <f>GO398+GO447</f>
        <v>0</v>
      </c>
      <c r="GP150" s="595" t="e">
        <f t="shared" si="294"/>
        <v>#DIV/0!</v>
      </c>
      <c r="GQ150" s="105"/>
      <c r="GR150" s="105"/>
      <c r="GS150" s="105"/>
      <c r="GT150" s="105"/>
      <c r="GU150" s="105">
        <f t="shared" si="324"/>
        <v>0</v>
      </c>
      <c r="GV150" s="105"/>
      <c r="GW150" s="105"/>
      <c r="GX150" s="105">
        <f>GX151</f>
        <v>0</v>
      </c>
      <c r="GY150" s="105"/>
      <c r="GZ150" s="105"/>
      <c r="HA150" s="105"/>
      <c r="HB150" s="105"/>
      <c r="HC150" s="105"/>
      <c r="HD150" s="105"/>
      <c r="HE150" s="105"/>
      <c r="HF150" s="105"/>
      <c r="HG150" s="105">
        <f t="shared" ref="HG150:HG170" si="341">HH150+HJ150</f>
        <v>0</v>
      </c>
      <c r="HH150" s="105"/>
      <c r="HI150" s="105"/>
      <c r="HJ150" s="105">
        <f>HC150</f>
        <v>0</v>
      </c>
      <c r="HK150" s="105">
        <f t="shared" ref="HK150:HK170" si="342">HL150+HN150</f>
        <v>0</v>
      </c>
      <c r="HL150" s="105"/>
      <c r="HM150" s="105"/>
      <c r="HN150" s="105">
        <f>HN151</f>
        <v>0</v>
      </c>
      <c r="HO150" s="105">
        <f t="shared" ref="HO150:HO170" si="343">HP150+HR150</f>
        <v>0</v>
      </c>
      <c r="HP150" s="105"/>
      <c r="HQ150" s="105"/>
      <c r="HR150" s="105">
        <f>HR151</f>
        <v>0</v>
      </c>
      <c r="HS150" s="105">
        <f t="shared" ref="HS150:HS159" si="344">HT150+HV150</f>
        <v>0</v>
      </c>
      <c r="HT150" s="105"/>
      <c r="HU150" s="105"/>
      <c r="HV150" s="105">
        <f>HV151</f>
        <v>0</v>
      </c>
      <c r="HW150" s="105">
        <f t="shared" ref="HW150:HW159" si="345">HX150+HZ150</f>
        <v>0</v>
      </c>
      <c r="HX150" s="105"/>
      <c r="HY150" s="105"/>
      <c r="HZ150" s="105">
        <f>HZ151</f>
        <v>0</v>
      </c>
      <c r="IA150" s="105">
        <f t="shared" ref="IA150:IA159" si="346">IB150+ID150</f>
        <v>0</v>
      </c>
      <c r="IB150" s="105"/>
      <c r="IC150" s="105"/>
      <c r="ID150" s="105">
        <f>ID151</f>
        <v>0</v>
      </c>
      <c r="IE150" s="228"/>
      <c r="IF150" s="141"/>
      <c r="IG150" s="141"/>
      <c r="IH150" s="141"/>
    </row>
    <row r="151" spans="2:242" s="202" customFormat="1" ht="157.5" hidden="1" customHeight="1" x14ac:dyDescent="0.25">
      <c r="B151" s="100" t="s">
        <v>134</v>
      </c>
      <c r="C151" s="559" t="s">
        <v>248</v>
      </c>
      <c r="D151" s="102"/>
      <c r="E151" s="103"/>
      <c r="F151" s="103"/>
      <c r="G151" s="103"/>
      <c r="H151" s="103"/>
      <c r="I151" s="103"/>
      <c r="J151" s="103"/>
      <c r="K151" s="103"/>
      <c r="L151" s="103"/>
      <c r="M151" s="103"/>
      <c r="N151" s="103"/>
      <c r="O151" s="103"/>
      <c r="P151" s="103"/>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6"/>
      <c r="AL151" s="106"/>
      <c r="AM151" s="111"/>
      <c r="AN151" s="111"/>
      <c r="AO151" s="109"/>
      <c r="AP151" s="105"/>
      <c r="AQ151" s="105"/>
      <c r="AR151" s="106"/>
      <c r="AS151" s="105"/>
      <c r="AT151" s="105"/>
      <c r="AU151" s="105"/>
      <c r="AV151" s="105"/>
      <c r="AW151" s="105"/>
      <c r="AX151" s="105"/>
      <c r="AY151" s="105"/>
      <c r="AZ151" s="105"/>
      <c r="BA151" s="105"/>
      <c r="BB151" s="105"/>
      <c r="BC151" s="105"/>
      <c r="BD151" s="105"/>
      <c r="BE151" s="105"/>
      <c r="BF151" s="105"/>
      <c r="BG151" s="105"/>
      <c r="BH151" s="105"/>
      <c r="BI151" s="105"/>
      <c r="BJ151" s="105"/>
      <c r="BK151" s="110"/>
      <c r="BL151" s="106"/>
      <c r="BM151" s="106"/>
      <c r="BN151" s="106"/>
      <c r="BO151" s="106"/>
      <c r="BP151" s="106"/>
      <c r="BQ151" s="106"/>
      <c r="BR151" s="106"/>
      <c r="BS151" s="106"/>
      <c r="BT151" s="106"/>
      <c r="BU151" s="106"/>
      <c r="BV151" s="105"/>
      <c r="BW151" s="105"/>
      <c r="BX151" s="105"/>
      <c r="BY151" s="105"/>
      <c r="BZ151" s="105"/>
      <c r="CA151" s="105"/>
      <c r="CB151" s="105">
        <f t="shared" si="305"/>
        <v>138698.6</v>
      </c>
      <c r="CC151" s="105"/>
      <c r="CD151" s="105">
        <v>138698.6</v>
      </c>
      <c r="CE151" s="106"/>
      <c r="CF151" s="106"/>
      <c r="CG151" s="105"/>
      <c r="CH151" s="105"/>
      <c r="CI151" s="105"/>
      <c r="CJ151" s="105"/>
      <c r="CK151" s="105"/>
      <c r="CL151" s="105"/>
      <c r="CM151" s="105"/>
      <c r="CN151" s="105"/>
      <c r="CO151" s="105"/>
      <c r="CP151" s="105"/>
      <c r="CQ151" s="105"/>
      <c r="CR151" s="105"/>
      <c r="CS151" s="105"/>
      <c r="CT151" s="105"/>
      <c r="CU151" s="105"/>
      <c r="CV151" s="105"/>
      <c r="CW151" s="105">
        <f t="shared" si="306"/>
        <v>0</v>
      </c>
      <c r="CX151" s="105"/>
      <c r="CY151" s="561"/>
      <c r="CZ151" s="105">
        <f t="shared" si="307"/>
        <v>184000</v>
      </c>
      <c r="DA151" s="105"/>
      <c r="DB151" s="105">
        <v>184000</v>
      </c>
      <c r="DC151" s="105"/>
      <c r="DD151" s="105"/>
      <c r="DE151" s="105"/>
      <c r="DF151" s="105">
        <f t="shared" si="308"/>
        <v>0</v>
      </c>
      <c r="DG151" s="105"/>
      <c r="DH151" s="105"/>
      <c r="DI151" s="105">
        <f t="shared" si="283"/>
        <v>0</v>
      </c>
      <c r="DJ151" s="105"/>
      <c r="DK151" s="105">
        <v>0</v>
      </c>
      <c r="DL151" s="105">
        <f t="shared" si="309"/>
        <v>0</v>
      </c>
      <c r="DM151" s="105"/>
      <c r="DN151" s="105"/>
      <c r="DO151" s="105">
        <f t="shared" si="310"/>
        <v>0</v>
      </c>
      <c r="DP151" s="105"/>
      <c r="DQ151" s="105"/>
      <c r="DR151" s="105">
        <f t="shared" si="311"/>
        <v>0</v>
      </c>
      <c r="DS151" s="105"/>
      <c r="DT151" s="105">
        <v>0</v>
      </c>
      <c r="DU151" s="105">
        <f t="shared" si="312"/>
        <v>0</v>
      </c>
      <c r="DV151" s="105"/>
      <c r="DW151" s="105">
        <v>0</v>
      </c>
      <c r="DX151" s="105">
        <f t="shared" si="313"/>
        <v>0</v>
      </c>
      <c r="DY151" s="105"/>
      <c r="DZ151" s="105"/>
      <c r="EA151" s="105"/>
      <c r="EB151" s="105"/>
      <c r="EC151" s="105"/>
      <c r="ED151" s="105"/>
      <c r="EE151" s="105"/>
      <c r="EF151" s="105"/>
      <c r="EG151" s="105">
        <f t="shared" si="318"/>
        <v>0</v>
      </c>
      <c r="EH151" s="105"/>
      <c r="EI151" s="105"/>
      <c r="EJ151" s="105">
        <v>0</v>
      </c>
      <c r="EK151" s="105">
        <f t="shared" si="319"/>
        <v>0</v>
      </c>
      <c r="EL151" s="105"/>
      <c r="EM151" s="105"/>
      <c r="EN151" s="105"/>
      <c r="EO151" s="105">
        <f t="shared" si="331"/>
        <v>0</v>
      </c>
      <c r="EP151" s="105"/>
      <c r="EQ151" s="105"/>
      <c r="ER151" s="105">
        <f>EV151-EJ151</f>
        <v>0</v>
      </c>
      <c r="ES151" s="180">
        <f t="shared" si="314"/>
        <v>0</v>
      </c>
      <c r="ET151" s="181">
        <f>ED151</f>
        <v>0</v>
      </c>
      <c r="EU151" s="181"/>
      <c r="EV151" s="103">
        <f>FR151-EJ151</f>
        <v>0</v>
      </c>
      <c r="EW151" s="105">
        <f t="shared" si="315"/>
        <v>0</v>
      </c>
      <c r="EX151" s="105"/>
      <c r="EY151" s="105"/>
      <c r="EZ151" s="105"/>
      <c r="FA151" s="105"/>
      <c r="FB151" s="105"/>
      <c r="FC151" s="103">
        <f t="shared" si="320"/>
        <v>0</v>
      </c>
      <c r="FD151" s="103"/>
      <c r="FE151" s="103"/>
      <c r="FF151" s="103">
        <v>0</v>
      </c>
      <c r="FG151" s="103">
        <f t="shared" si="340"/>
        <v>0</v>
      </c>
      <c r="FH151" s="103"/>
      <c r="FI151" s="103"/>
      <c r="FJ151" s="103"/>
      <c r="FK151" s="103">
        <f t="shared" si="332"/>
        <v>0</v>
      </c>
      <c r="FL151" s="103"/>
      <c r="FM151" s="103"/>
      <c r="FN151" s="103">
        <f>FR151-FF151</f>
        <v>0</v>
      </c>
      <c r="FO151" s="103">
        <f t="shared" si="321"/>
        <v>0</v>
      </c>
      <c r="FP151" s="103"/>
      <c r="FQ151" s="103"/>
      <c r="FR151" s="103">
        <v>0</v>
      </c>
      <c r="FS151" s="629">
        <f t="shared" si="338"/>
        <v>0</v>
      </c>
      <c r="FT151" s="595" t="e">
        <f t="shared" si="241"/>
        <v>#DIV/0!</v>
      </c>
      <c r="FU151" s="629">
        <v>0</v>
      </c>
      <c r="FV151" s="595" t="e">
        <f t="shared" si="242"/>
        <v>#DIV/0!</v>
      </c>
      <c r="FW151" s="522">
        <f t="shared" si="333"/>
        <v>0</v>
      </c>
      <c r="FX151" s="666" t="e">
        <f>FW151/FE151</f>
        <v>#DIV/0!</v>
      </c>
      <c r="FY151" s="629">
        <f t="shared" si="335"/>
        <v>0</v>
      </c>
      <c r="FZ151" s="666" t="e">
        <f t="shared" si="322"/>
        <v>#DIV/0!</v>
      </c>
      <c r="GA151" s="629">
        <f t="shared" si="247"/>
        <v>0</v>
      </c>
      <c r="GB151" s="595" t="e">
        <f t="shared" si="248"/>
        <v>#DIV/0!</v>
      </c>
      <c r="GC151" s="629"/>
      <c r="GD151" s="595"/>
      <c r="GE151" s="522"/>
      <c r="GF151" s="514"/>
      <c r="GG151" s="522">
        <f t="shared" si="336"/>
        <v>0</v>
      </c>
      <c r="GH151" s="514" t="e">
        <f t="shared" si="323"/>
        <v>#DIV/0!</v>
      </c>
      <c r="GI151" s="629">
        <f t="shared" si="243"/>
        <v>0</v>
      </c>
      <c r="GJ151" s="595" t="e">
        <f t="shared" si="244"/>
        <v>#DIV/0!</v>
      </c>
      <c r="GK151" s="629">
        <f t="shared" si="337"/>
        <v>0</v>
      </c>
      <c r="GL151" s="595" t="e">
        <f t="shared" si="245"/>
        <v>#DIV/0!</v>
      </c>
      <c r="GM151" s="629">
        <f t="shared" si="334"/>
        <v>0</v>
      </c>
      <c r="GN151" s="595" t="e">
        <f>GM151/FE151</f>
        <v>#DIV/0!</v>
      </c>
      <c r="GO151" s="629">
        <f>GO399+GO448</f>
        <v>0</v>
      </c>
      <c r="GP151" s="595" t="e">
        <f t="shared" si="294"/>
        <v>#DIV/0!</v>
      </c>
      <c r="GQ151" s="105"/>
      <c r="GR151" s="105"/>
      <c r="GS151" s="105"/>
      <c r="GT151" s="105"/>
      <c r="GU151" s="105">
        <f t="shared" si="324"/>
        <v>0</v>
      </c>
      <c r="GV151" s="105"/>
      <c r="GW151" s="105"/>
      <c r="GX151" s="105">
        <v>0</v>
      </c>
      <c r="GY151" s="105"/>
      <c r="GZ151" s="105"/>
      <c r="HA151" s="105"/>
      <c r="HB151" s="105"/>
      <c r="HC151" s="105"/>
      <c r="HD151" s="105"/>
      <c r="HE151" s="105"/>
      <c r="HF151" s="105"/>
      <c r="HG151" s="105">
        <f t="shared" si="341"/>
        <v>0</v>
      </c>
      <c r="HH151" s="105"/>
      <c r="HI151" s="105"/>
      <c r="HJ151" s="105">
        <f>HC151</f>
        <v>0</v>
      </c>
      <c r="HK151" s="105">
        <f t="shared" si="342"/>
        <v>0</v>
      </c>
      <c r="HL151" s="105"/>
      <c r="HM151" s="105"/>
      <c r="HN151" s="105">
        <f>HR151-GX151</f>
        <v>0</v>
      </c>
      <c r="HO151" s="105">
        <f t="shared" si="343"/>
        <v>0</v>
      </c>
      <c r="HP151" s="105"/>
      <c r="HQ151" s="105"/>
      <c r="HR151" s="105">
        <v>0</v>
      </c>
      <c r="HS151" s="105">
        <f t="shared" si="344"/>
        <v>0</v>
      </c>
      <c r="HT151" s="105"/>
      <c r="HU151" s="105"/>
      <c r="HV151" s="105">
        <v>0</v>
      </c>
      <c r="HW151" s="105">
        <f t="shared" si="345"/>
        <v>0</v>
      </c>
      <c r="HX151" s="105"/>
      <c r="HY151" s="105"/>
      <c r="HZ151" s="105">
        <f>ID151-HV151</f>
        <v>0</v>
      </c>
      <c r="IA151" s="105">
        <f t="shared" si="346"/>
        <v>0</v>
      </c>
      <c r="IB151" s="105"/>
      <c r="IC151" s="105"/>
      <c r="ID151" s="105">
        <v>0</v>
      </c>
      <c r="IE151" s="228" t="s">
        <v>480</v>
      </c>
      <c r="IF151" s="141"/>
      <c r="IG151" s="141"/>
      <c r="IH151" s="141"/>
    </row>
    <row r="152" spans="2:242" s="202" customFormat="1" ht="49.5" customHeight="1" x14ac:dyDescent="0.25">
      <c r="B152" s="100" t="s">
        <v>246</v>
      </c>
      <c r="C152" s="559" t="s">
        <v>249</v>
      </c>
      <c r="D152" s="102"/>
      <c r="E152" s="103"/>
      <c r="F152" s="103"/>
      <c r="G152" s="103"/>
      <c r="H152" s="103"/>
      <c r="I152" s="103"/>
      <c r="J152" s="103"/>
      <c r="K152" s="103"/>
      <c r="L152" s="103"/>
      <c r="M152" s="103"/>
      <c r="N152" s="103"/>
      <c r="O152" s="103"/>
      <c r="P152" s="103"/>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6"/>
      <c r="AL152" s="106"/>
      <c r="AM152" s="111"/>
      <c r="AN152" s="111"/>
      <c r="AO152" s="109"/>
      <c r="AP152" s="105"/>
      <c r="AQ152" s="105"/>
      <c r="AR152" s="106"/>
      <c r="AS152" s="105"/>
      <c r="AT152" s="105"/>
      <c r="AU152" s="105"/>
      <c r="AV152" s="105"/>
      <c r="AW152" s="105"/>
      <c r="AX152" s="105"/>
      <c r="AY152" s="105"/>
      <c r="AZ152" s="105"/>
      <c r="BA152" s="105"/>
      <c r="BB152" s="105"/>
      <c r="BC152" s="105"/>
      <c r="BD152" s="105"/>
      <c r="BE152" s="105"/>
      <c r="BF152" s="105"/>
      <c r="BG152" s="105"/>
      <c r="BH152" s="105"/>
      <c r="BI152" s="105"/>
      <c r="BJ152" s="105"/>
      <c r="BK152" s="110"/>
      <c r="BL152" s="106"/>
      <c r="BM152" s="106"/>
      <c r="BN152" s="106"/>
      <c r="BO152" s="106"/>
      <c r="BP152" s="106"/>
      <c r="BQ152" s="106"/>
      <c r="BR152" s="106"/>
      <c r="BS152" s="106"/>
      <c r="BT152" s="106"/>
      <c r="BU152" s="106"/>
      <c r="BV152" s="105"/>
      <c r="BW152" s="105"/>
      <c r="BX152" s="105"/>
      <c r="BY152" s="105"/>
      <c r="BZ152" s="105"/>
      <c r="CA152" s="105"/>
      <c r="CB152" s="105">
        <f t="shared" si="305"/>
        <v>53031.845000000001</v>
      </c>
      <c r="CC152" s="105">
        <f>CC153+CC154+CC156</f>
        <v>0</v>
      </c>
      <c r="CD152" s="105">
        <f>CD153+CD154+CD156</f>
        <v>53031.845000000001</v>
      </c>
      <c r="CE152" s="105" t="e">
        <f>CE153+#REF!+CE154</f>
        <v>#REF!</v>
      </c>
      <c r="CF152" s="105" t="e">
        <f>CF153+#REF!+CF154</f>
        <v>#REF!</v>
      </c>
      <c r="CG152" s="105" t="e">
        <f>CG153+#REF!+CG154</f>
        <v>#REF!</v>
      </c>
      <c r="CH152" s="105" t="e">
        <f>CH153+#REF!+CH154</f>
        <v>#REF!</v>
      </c>
      <c r="CI152" s="105" t="e">
        <f>CI153+#REF!+CI154</f>
        <v>#REF!</v>
      </c>
      <c r="CJ152" s="105" t="e">
        <f>CJ153+#REF!+CJ154</f>
        <v>#REF!</v>
      </c>
      <c r="CK152" s="105" t="e">
        <f>CK153+#REF!+CK154</f>
        <v>#REF!</v>
      </c>
      <c r="CL152" s="105" t="e">
        <f>CL153+#REF!+CL154</f>
        <v>#REF!</v>
      </c>
      <c r="CM152" s="105" t="e">
        <f>CM153+#REF!+CM154</f>
        <v>#REF!</v>
      </c>
      <c r="CN152" s="105" t="e">
        <f>CN153+#REF!+CN154</f>
        <v>#REF!</v>
      </c>
      <c r="CO152" s="105" t="e">
        <f>CO153+#REF!+CO154</f>
        <v>#REF!</v>
      </c>
      <c r="CP152" s="105" t="e">
        <f>CP153+#REF!+CP154</f>
        <v>#REF!</v>
      </c>
      <c r="CQ152" s="105" t="e">
        <f>CQ153+#REF!+CQ154</f>
        <v>#REF!</v>
      </c>
      <c r="CR152" s="105" t="e">
        <f>CR153+#REF!+CR154</f>
        <v>#REF!</v>
      </c>
      <c r="CS152" s="105" t="e">
        <f>CS153+#REF!+CS154</f>
        <v>#REF!</v>
      </c>
      <c r="CT152" s="105"/>
      <c r="CU152" s="105"/>
      <c r="CV152" s="105"/>
      <c r="CW152" s="105">
        <f t="shared" si="306"/>
        <v>80543.645000000004</v>
      </c>
      <c r="CX152" s="105">
        <f>CX153+CX154+CX156</f>
        <v>0</v>
      </c>
      <c r="CY152" s="105">
        <f>CY153+CY154+CY156</f>
        <v>80543.645000000004</v>
      </c>
      <c r="CZ152" s="105">
        <f t="shared" si="307"/>
        <v>0</v>
      </c>
      <c r="DA152" s="105">
        <f>DA153+DA154+DA156</f>
        <v>0</v>
      </c>
      <c r="DB152" s="105">
        <f>DB153+DB154+DB156</f>
        <v>0</v>
      </c>
      <c r="DC152" s="105"/>
      <c r="DD152" s="105"/>
      <c r="DE152" s="105"/>
      <c r="DF152" s="105">
        <f t="shared" si="308"/>
        <v>0</v>
      </c>
      <c r="DG152" s="105">
        <f>DG153+DG154+DG156</f>
        <v>0</v>
      </c>
      <c r="DH152" s="105">
        <f>DH153+DH154+DH156</f>
        <v>0</v>
      </c>
      <c r="DI152" s="105">
        <f t="shared" si="283"/>
        <v>80543.645000000004</v>
      </c>
      <c r="DJ152" s="105">
        <f>DJ153+DJ154+DJ156</f>
        <v>0</v>
      </c>
      <c r="DK152" s="105">
        <f>DK153+DK154+DK156</f>
        <v>80543.645000000004</v>
      </c>
      <c r="DL152" s="105">
        <f t="shared" si="309"/>
        <v>80543.645000000004</v>
      </c>
      <c r="DM152" s="105">
        <f>DM153+DM154+DM156</f>
        <v>0</v>
      </c>
      <c r="DN152" s="105">
        <f>DN153+DN154+DN156</f>
        <v>80543.645000000004</v>
      </c>
      <c r="DO152" s="105">
        <f t="shared" si="310"/>
        <v>0</v>
      </c>
      <c r="DP152" s="105">
        <f>DP153+DP154+DP156</f>
        <v>0</v>
      </c>
      <c r="DQ152" s="105">
        <f>DQ153+DQ154+DQ156</f>
        <v>0</v>
      </c>
      <c r="DR152" s="105">
        <f t="shared" si="311"/>
        <v>0</v>
      </c>
      <c r="DS152" s="105">
        <f>DS153+DS154+DS156</f>
        <v>0</v>
      </c>
      <c r="DT152" s="105">
        <f>DT153+DT154+DT156</f>
        <v>0</v>
      </c>
      <c r="DU152" s="105">
        <f t="shared" si="312"/>
        <v>0</v>
      </c>
      <c r="DV152" s="105">
        <f>DV153+DV154+DV156</f>
        <v>0</v>
      </c>
      <c r="DW152" s="105">
        <f>DW153+DW154+DW156</f>
        <v>0</v>
      </c>
      <c r="DX152" s="105">
        <f t="shared" si="313"/>
        <v>12988</v>
      </c>
      <c r="DY152" s="105">
        <f>DY153+DY154+DY156</f>
        <v>0</v>
      </c>
      <c r="DZ152" s="105">
        <f>DZ153+DZ154+DZ156</f>
        <v>12988</v>
      </c>
      <c r="EA152" s="105"/>
      <c r="EB152" s="105"/>
      <c r="EC152" s="105"/>
      <c r="ED152" s="105"/>
      <c r="EE152" s="105"/>
      <c r="EF152" s="105"/>
      <c r="EG152" s="105">
        <f t="shared" si="318"/>
        <v>36931.425000000003</v>
      </c>
      <c r="EH152" s="105"/>
      <c r="EI152" s="105"/>
      <c r="EJ152" s="105">
        <f>EJ153+EJ154+EJ156+EJ157</f>
        <v>36931.425000000003</v>
      </c>
      <c r="EK152" s="105">
        <f t="shared" si="319"/>
        <v>0</v>
      </c>
      <c r="EL152" s="105">
        <f>EL153+EL154+EL156</f>
        <v>0</v>
      </c>
      <c r="EM152" s="105"/>
      <c r="EN152" s="105">
        <f>EN153+EN154+EN156</f>
        <v>0</v>
      </c>
      <c r="EO152" s="105" t="e">
        <f t="shared" si="331"/>
        <v>#REF!</v>
      </c>
      <c r="EP152" s="105">
        <f>EP153+EP154+EP156</f>
        <v>0</v>
      </c>
      <c r="EQ152" s="105"/>
      <c r="ER152" s="105" t="e">
        <f>ER153+ER154+ER156+ER157</f>
        <v>#REF!</v>
      </c>
      <c r="ES152" s="106">
        <f t="shared" si="314"/>
        <v>-10112.633</v>
      </c>
      <c r="ET152" s="106">
        <f>ET153+ET154</f>
        <v>0</v>
      </c>
      <c r="EU152" s="106"/>
      <c r="EV152" s="105">
        <f>EV153+EV154+EV156+EV157</f>
        <v>-10112.633</v>
      </c>
      <c r="EW152" s="105">
        <f t="shared" si="315"/>
        <v>12988</v>
      </c>
      <c r="EX152" s="105">
        <f>EX153+EX154+EX156</f>
        <v>0</v>
      </c>
      <c r="EY152" s="105">
        <f>EY153+EY154+EY156</f>
        <v>12988</v>
      </c>
      <c r="EZ152" s="105"/>
      <c r="FA152" s="105"/>
      <c r="FB152" s="105"/>
      <c r="FC152" s="103">
        <f t="shared" si="320"/>
        <v>31908.592000000001</v>
      </c>
      <c r="FD152" s="103"/>
      <c r="FE152" s="103"/>
      <c r="FF152" s="103">
        <f>SUM(FF153:FF157)</f>
        <v>31908.592000000001</v>
      </c>
      <c r="FG152" s="103">
        <f t="shared" si="340"/>
        <v>0</v>
      </c>
      <c r="FH152" s="103">
        <f>FH153+FH154+FH156</f>
        <v>0</v>
      </c>
      <c r="FI152" s="103"/>
      <c r="FJ152" s="103">
        <f>SUM(FJ153:FJ157)</f>
        <v>0</v>
      </c>
      <c r="FK152" s="103">
        <f t="shared" si="332"/>
        <v>19529.924999999999</v>
      </c>
      <c r="FL152" s="103">
        <f>FL153+FL154+FL156</f>
        <v>0</v>
      </c>
      <c r="FM152" s="103"/>
      <c r="FN152" s="103">
        <f>FN153+FN154+FN156+FN157</f>
        <v>19529.924999999999</v>
      </c>
      <c r="FO152" s="103">
        <f t="shared" si="321"/>
        <v>31908.592000000001</v>
      </c>
      <c r="FP152" s="103"/>
      <c r="FQ152" s="103"/>
      <c r="FR152" s="103">
        <f>SUM(FR153:FR157)</f>
        <v>31908.592000000001</v>
      </c>
      <c r="FS152" s="629">
        <f t="shared" si="338"/>
        <v>5009.7674900000002</v>
      </c>
      <c r="FT152" s="595">
        <f t="shared" si="241"/>
        <v>0.15700371517489708</v>
      </c>
      <c r="FU152" s="629">
        <v>0</v>
      </c>
      <c r="FV152" s="595">
        <v>0</v>
      </c>
      <c r="FW152" s="522">
        <f t="shared" si="333"/>
        <v>0</v>
      </c>
      <c r="FX152" s="666">
        <v>0</v>
      </c>
      <c r="FY152" s="629">
        <f>FY154+FY155+FY156+FY157</f>
        <v>5009.7674900000002</v>
      </c>
      <c r="FZ152" s="595">
        <f t="shared" si="322"/>
        <v>0.15700371517489708</v>
      </c>
      <c r="GA152" s="629">
        <f t="shared" si="247"/>
        <v>5009.7674900000002</v>
      </c>
      <c r="GB152" s="595">
        <f t="shared" si="248"/>
        <v>0.15700371517489708</v>
      </c>
      <c r="GC152" s="629"/>
      <c r="GD152" s="595"/>
      <c r="GE152" s="522"/>
      <c r="GF152" s="514"/>
      <c r="GG152" s="522">
        <f>GG154+GG155+GG156+GG157</f>
        <v>5009.7674900000002</v>
      </c>
      <c r="GH152" s="514">
        <f t="shared" si="323"/>
        <v>0.15700371517489708</v>
      </c>
      <c r="GI152" s="629">
        <f t="shared" si="243"/>
        <v>31138.293840000002</v>
      </c>
      <c r="GJ152" s="595">
        <f t="shared" si="244"/>
        <v>0.97585922437442563</v>
      </c>
      <c r="GK152" s="629">
        <f t="shared" si="337"/>
        <v>0</v>
      </c>
      <c r="GL152" s="595">
        <v>0</v>
      </c>
      <c r="GM152" s="629">
        <f t="shared" si="334"/>
        <v>0</v>
      </c>
      <c r="GN152" s="595">
        <v>0</v>
      </c>
      <c r="GO152" s="629">
        <f>SUM(GO153:GO157)</f>
        <v>31138.293840000002</v>
      </c>
      <c r="GP152" s="595">
        <f t="shared" si="294"/>
        <v>0.97585922437442563</v>
      </c>
      <c r="GQ152" s="105"/>
      <c r="GR152" s="105"/>
      <c r="GS152" s="105"/>
      <c r="GT152" s="105"/>
      <c r="GU152" s="105">
        <f t="shared" si="324"/>
        <v>19000</v>
      </c>
      <c r="GV152" s="105"/>
      <c r="GW152" s="105"/>
      <c r="GX152" s="105">
        <f>SUM(GX153:GX157)</f>
        <v>19000</v>
      </c>
      <c r="GY152" s="105"/>
      <c r="GZ152" s="105"/>
      <c r="HA152" s="105"/>
      <c r="HB152" s="105"/>
      <c r="HC152" s="105"/>
      <c r="HD152" s="105"/>
      <c r="HE152" s="105"/>
      <c r="HF152" s="105"/>
      <c r="HG152" s="105">
        <f t="shared" si="341"/>
        <v>0</v>
      </c>
      <c r="HH152" s="105"/>
      <c r="HI152" s="105"/>
      <c r="HJ152" s="105">
        <f>HJ153+HJ154+HJ156</f>
        <v>0</v>
      </c>
      <c r="HK152" s="105">
        <f t="shared" si="342"/>
        <v>0</v>
      </c>
      <c r="HL152" s="105"/>
      <c r="HM152" s="105"/>
      <c r="HN152" s="105">
        <f>HN153+HN154+HN156+HN157</f>
        <v>0</v>
      </c>
      <c r="HO152" s="105">
        <f t="shared" si="343"/>
        <v>19000</v>
      </c>
      <c r="HP152" s="105"/>
      <c r="HQ152" s="105"/>
      <c r="HR152" s="105">
        <f>HR153+HR154+HR156+HR157</f>
        <v>19000</v>
      </c>
      <c r="HS152" s="105">
        <f t="shared" si="344"/>
        <v>0</v>
      </c>
      <c r="HT152" s="105"/>
      <c r="HU152" s="105"/>
      <c r="HV152" s="105">
        <f>HV153+HV154+HV156</f>
        <v>0</v>
      </c>
      <c r="HW152" s="105">
        <f t="shared" si="345"/>
        <v>0</v>
      </c>
      <c r="HX152" s="105"/>
      <c r="HY152" s="105"/>
      <c r="HZ152" s="105">
        <f>HZ153+HZ154+HZ156</f>
        <v>0</v>
      </c>
      <c r="IA152" s="105">
        <f t="shared" si="346"/>
        <v>0</v>
      </c>
      <c r="IB152" s="105"/>
      <c r="IC152" s="105"/>
      <c r="ID152" s="105">
        <f>ID153+ID154+ID156</f>
        <v>0</v>
      </c>
      <c r="IE152" s="228"/>
      <c r="IF152" s="141"/>
      <c r="IG152" s="141"/>
      <c r="IH152" s="141"/>
    </row>
    <row r="153" spans="2:242" s="225" customFormat="1" ht="91.5" hidden="1" customHeight="1" x14ac:dyDescent="0.2">
      <c r="B153" s="186" t="s">
        <v>134</v>
      </c>
      <c r="C153" s="226" t="s">
        <v>250</v>
      </c>
      <c r="D153" s="222"/>
      <c r="E153" s="143"/>
      <c r="F153" s="143"/>
      <c r="G153" s="143"/>
      <c r="H153" s="143"/>
      <c r="I153" s="143"/>
      <c r="J153" s="143"/>
      <c r="K153" s="143"/>
      <c r="L153" s="143"/>
      <c r="M153" s="143"/>
      <c r="N153" s="143"/>
      <c r="O153" s="143"/>
      <c r="P153" s="143"/>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68"/>
      <c r="AL153" s="168"/>
      <c r="AM153" s="223"/>
      <c r="AN153" s="223"/>
      <c r="AO153" s="166"/>
      <c r="AP153" s="144"/>
      <c r="AQ153" s="144"/>
      <c r="AR153" s="168"/>
      <c r="AS153" s="144"/>
      <c r="AT153" s="144"/>
      <c r="AU153" s="144"/>
      <c r="AV153" s="144"/>
      <c r="AW153" s="144"/>
      <c r="AX153" s="144"/>
      <c r="AY153" s="144"/>
      <c r="AZ153" s="144"/>
      <c r="BA153" s="144"/>
      <c r="BB153" s="144"/>
      <c r="BC153" s="144"/>
      <c r="BD153" s="144"/>
      <c r="BE153" s="144"/>
      <c r="BF153" s="144"/>
      <c r="BG153" s="144"/>
      <c r="BH153" s="144"/>
      <c r="BI153" s="144"/>
      <c r="BJ153" s="144"/>
      <c r="BK153" s="167"/>
      <c r="BL153" s="168"/>
      <c r="BM153" s="168"/>
      <c r="BN153" s="168"/>
      <c r="BO153" s="168"/>
      <c r="BP153" s="168"/>
      <c r="BQ153" s="168"/>
      <c r="BR153" s="168"/>
      <c r="BS153" s="168"/>
      <c r="BT153" s="168"/>
      <c r="BU153" s="168"/>
      <c r="BV153" s="144"/>
      <c r="BW153" s="144"/>
      <c r="BX153" s="144"/>
      <c r="BY153" s="144"/>
      <c r="BZ153" s="144"/>
      <c r="CA153" s="144"/>
      <c r="CB153" s="144">
        <f t="shared" si="305"/>
        <v>43614.553</v>
      </c>
      <c r="CC153" s="144"/>
      <c r="CD153" s="144">
        <v>43614.553</v>
      </c>
      <c r="CE153" s="168"/>
      <c r="CF153" s="168"/>
      <c r="CG153" s="144"/>
      <c r="CH153" s="144"/>
      <c r="CI153" s="144"/>
      <c r="CJ153" s="144"/>
      <c r="CK153" s="144"/>
      <c r="CL153" s="144"/>
      <c r="CM153" s="144"/>
      <c r="CN153" s="144"/>
      <c r="CO153" s="144"/>
      <c r="CP153" s="144"/>
      <c r="CQ153" s="144"/>
      <c r="CR153" s="144"/>
      <c r="CS153" s="144"/>
      <c r="CT153" s="144"/>
      <c r="CU153" s="144"/>
      <c r="CV153" s="144"/>
      <c r="CW153" s="144">
        <f t="shared" si="306"/>
        <v>71126.353000000003</v>
      </c>
      <c r="CX153" s="144"/>
      <c r="CY153" s="144">
        <v>71126.353000000003</v>
      </c>
      <c r="CZ153" s="144">
        <f t="shared" si="307"/>
        <v>0</v>
      </c>
      <c r="DA153" s="144"/>
      <c r="DB153" s="144"/>
      <c r="DC153" s="144"/>
      <c r="DD153" s="144"/>
      <c r="DE153" s="144"/>
      <c r="DF153" s="144">
        <f t="shared" si="308"/>
        <v>0</v>
      </c>
      <c r="DG153" s="144"/>
      <c r="DH153" s="144"/>
      <c r="DI153" s="144">
        <f t="shared" si="283"/>
        <v>71126.353000000003</v>
      </c>
      <c r="DJ153" s="144"/>
      <c r="DK153" s="144">
        <f>CY153</f>
        <v>71126.353000000003</v>
      </c>
      <c r="DL153" s="144">
        <f t="shared" si="309"/>
        <v>71126.353000000003</v>
      </c>
      <c r="DM153" s="144"/>
      <c r="DN153" s="144">
        <f>DK153</f>
        <v>71126.353000000003</v>
      </c>
      <c r="DO153" s="144">
        <f t="shared" si="310"/>
        <v>0</v>
      </c>
      <c r="DP153" s="144"/>
      <c r="DQ153" s="144"/>
      <c r="DR153" s="144">
        <f t="shared" si="311"/>
        <v>0</v>
      </c>
      <c r="DS153" s="144"/>
      <c r="DT153" s="144">
        <f>DK153-DN153-DQ153</f>
        <v>0</v>
      </c>
      <c r="DU153" s="144">
        <f t="shared" si="312"/>
        <v>0</v>
      </c>
      <c r="DV153" s="144"/>
      <c r="DW153" s="144"/>
      <c r="DX153" s="144">
        <f t="shared" si="313"/>
        <v>0</v>
      </c>
      <c r="DY153" s="144"/>
      <c r="DZ153" s="144"/>
      <c r="EA153" s="144"/>
      <c r="EB153" s="144"/>
      <c r="EC153" s="144"/>
      <c r="ED153" s="144"/>
      <c r="EE153" s="144"/>
      <c r="EF153" s="144"/>
      <c r="EG153" s="144">
        <f>EJ153</f>
        <v>10112.633</v>
      </c>
      <c r="EH153" s="144"/>
      <c r="EI153" s="144"/>
      <c r="EJ153" s="144">
        <v>10112.633</v>
      </c>
      <c r="EK153" s="144">
        <f t="shared" si="319"/>
        <v>0</v>
      </c>
      <c r="EL153" s="144"/>
      <c r="EM153" s="144"/>
      <c r="EN153" s="144"/>
      <c r="EO153" s="144" t="e">
        <f t="shared" si="331"/>
        <v>#REF!</v>
      </c>
      <c r="EP153" s="144"/>
      <c r="EQ153" s="144"/>
      <c r="ER153" s="144" t="e">
        <f>EV153-#REF!</f>
        <v>#REF!</v>
      </c>
      <c r="ES153" s="164">
        <f t="shared" si="314"/>
        <v>-10112.633</v>
      </c>
      <c r="ET153" s="164"/>
      <c r="EU153" s="164"/>
      <c r="EV153" s="144">
        <f>FR153-EJ153</f>
        <v>-10112.633</v>
      </c>
      <c r="EW153" s="144">
        <f t="shared" si="315"/>
        <v>0</v>
      </c>
      <c r="EX153" s="144"/>
      <c r="EY153" s="144"/>
      <c r="EZ153" s="144"/>
      <c r="FA153" s="144"/>
      <c r="FB153" s="144"/>
      <c r="FC153" s="143">
        <f t="shared" si="320"/>
        <v>0</v>
      </c>
      <c r="FD153" s="143"/>
      <c r="FE153" s="143"/>
      <c r="FF153" s="143">
        <v>0</v>
      </c>
      <c r="FG153" s="143">
        <f t="shared" si="340"/>
        <v>0</v>
      </c>
      <c r="FH153" s="143"/>
      <c r="FI153" s="143"/>
      <c r="FJ153" s="143">
        <f>FR153-FF153</f>
        <v>0</v>
      </c>
      <c r="FK153" s="143">
        <f t="shared" si="332"/>
        <v>10112.633</v>
      </c>
      <c r="FL153" s="143"/>
      <c r="FM153" s="143"/>
      <c r="FN153" s="143">
        <f>EJ153</f>
        <v>10112.633</v>
      </c>
      <c r="FO153" s="143">
        <f>FR153</f>
        <v>0</v>
      </c>
      <c r="FP153" s="143"/>
      <c r="FQ153" s="143"/>
      <c r="FR153" s="143">
        <v>0</v>
      </c>
      <c r="FS153" s="90">
        <f t="shared" si="338"/>
        <v>0</v>
      </c>
      <c r="FT153" s="518" t="e">
        <f t="shared" si="241"/>
        <v>#DIV/0!</v>
      </c>
      <c r="FU153" s="90">
        <v>0</v>
      </c>
      <c r="FV153" s="518">
        <v>0</v>
      </c>
      <c r="FW153" s="87">
        <f t="shared" si="333"/>
        <v>0</v>
      </c>
      <c r="FX153" s="665">
        <v>0</v>
      </c>
      <c r="FY153" s="90">
        <f t="shared" si="335"/>
        <v>0</v>
      </c>
      <c r="FZ153" s="665" t="e">
        <f t="shared" si="322"/>
        <v>#DIV/0!</v>
      </c>
      <c r="GA153" s="90">
        <f t="shared" si="247"/>
        <v>0</v>
      </c>
      <c r="GB153" s="518" t="e">
        <f t="shared" si="248"/>
        <v>#DIV/0!</v>
      </c>
      <c r="GC153" s="90"/>
      <c r="GD153" s="518"/>
      <c r="GE153" s="87"/>
      <c r="GF153" s="515"/>
      <c r="GG153" s="87">
        <f t="shared" si="336"/>
        <v>0</v>
      </c>
      <c r="GH153" s="515" t="e">
        <f t="shared" si="323"/>
        <v>#DIV/0!</v>
      </c>
      <c r="GI153" s="90">
        <f t="shared" si="243"/>
        <v>0</v>
      </c>
      <c r="GJ153" s="518" t="e">
        <f t="shared" si="244"/>
        <v>#DIV/0!</v>
      </c>
      <c r="GK153" s="90">
        <f t="shared" si="337"/>
        <v>0</v>
      </c>
      <c r="GL153" s="518">
        <v>0</v>
      </c>
      <c r="GM153" s="90">
        <f t="shared" si="334"/>
        <v>0</v>
      </c>
      <c r="GN153" s="518">
        <v>0</v>
      </c>
      <c r="GO153" s="90">
        <f>GO401+GO450</f>
        <v>0</v>
      </c>
      <c r="GP153" s="518" t="e">
        <f t="shared" si="294"/>
        <v>#DIV/0!</v>
      </c>
      <c r="GQ153" s="144"/>
      <c r="GR153" s="144"/>
      <c r="GS153" s="144"/>
      <c r="GT153" s="144"/>
      <c r="GU153" s="144">
        <f t="shared" si="324"/>
        <v>0</v>
      </c>
      <c r="GV153" s="144"/>
      <c r="GW153" s="144"/>
      <c r="GX153" s="144">
        <v>0</v>
      </c>
      <c r="GY153" s="144"/>
      <c r="GZ153" s="144"/>
      <c r="HA153" s="144"/>
      <c r="HB153" s="144"/>
      <c r="HC153" s="144"/>
      <c r="HD153" s="144"/>
      <c r="HE153" s="144"/>
      <c r="HF153" s="144"/>
      <c r="HG153" s="144">
        <f t="shared" si="341"/>
        <v>0</v>
      </c>
      <c r="HH153" s="144"/>
      <c r="HI153" s="144"/>
      <c r="HJ153" s="144">
        <f>HC153</f>
        <v>0</v>
      </c>
      <c r="HK153" s="144">
        <f t="shared" si="342"/>
        <v>0</v>
      </c>
      <c r="HL153" s="144"/>
      <c r="HM153" s="144"/>
      <c r="HN153" s="144">
        <f>HG153</f>
        <v>0</v>
      </c>
      <c r="HO153" s="144">
        <f t="shared" si="343"/>
        <v>0</v>
      </c>
      <c r="HP153" s="144"/>
      <c r="HQ153" s="144"/>
      <c r="HR153" s="144">
        <f>HG153</f>
        <v>0</v>
      </c>
      <c r="HS153" s="144">
        <f t="shared" si="344"/>
        <v>0</v>
      </c>
      <c r="HT153" s="144"/>
      <c r="HU153" s="144"/>
      <c r="HV153" s="144">
        <f>HO153</f>
        <v>0</v>
      </c>
      <c r="HW153" s="144">
        <f t="shared" si="345"/>
        <v>0</v>
      </c>
      <c r="HX153" s="144"/>
      <c r="HY153" s="144"/>
      <c r="HZ153" s="144">
        <f>HS153</f>
        <v>0</v>
      </c>
      <c r="IA153" s="144">
        <f t="shared" si="346"/>
        <v>0</v>
      </c>
      <c r="IB153" s="144"/>
      <c r="IC153" s="144"/>
      <c r="ID153" s="144">
        <f>HW153</f>
        <v>0</v>
      </c>
      <c r="IE153" s="557" t="s">
        <v>481</v>
      </c>
      <c r="IF153" s="145" t="s">
        <v>251</v>
      </c>
      <c r="IG153" s="145"/>
      <c r="IH153" s="145"/>
    </row>
    <row r="154" spans="2:242" s="225" customFormat="1" ht="90.75" customHeight="1" x14ac:dyDescent="0.2">
      <c r="B154" s="186" t="s">
        <v>134</v>
      </c>
      <c r="C154" s="226" t="s">
        <v>515</v>
      </c>
      <c r="D154" s="222"/>
      <c r="E154" s="143"/>
      <c r="F154" s="143"/>
      <c r="G154" s="143"/>
      <c r="H154" s="143"/>
      <c r="I154" s="143"/>
      <c r="J154" s="143"/>
      <c r="K154" s="143"/>
      <c r="L154" s="143"/>
      <c r="M154" s="143"/>
      <c r="N154" s="143"/>
      <c r="O154" s="143"/>
      <c r="P154" s="143"/>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68"/>
      <c r="AL154" s="168"/>
      <c r="AM154" s="223"/>
      <c r="AN154" s="223"/>
      <c r="AO154" s="166"/>
      <c r="AP154" s="144"/>
      <c r="AQ154" s="144"/>
      <c r="AR154" s="168"/>
      <c r="AS154" s="144"/>
      <c r="AT154" s="144"/>
      <c r="AU154" s="144"/>
      <c r="AV154" s="144"/>
      <c r="AW154" s="144"/>
      <c r="AX154" s="144"/>
      <c r="AY154" s="144"/>
      <c r="AZ154" s="144"/>
      <c r="BA154" s="144"/>
      <c r="BB154" s="144"/>
      <c r="BC154" s="144"/>
      <c r="BD154" s="144"/>
      <c r="BE154" s="144"/>
      <c r="BF154" s="144"/>
      <c r="BG154" s="144"/>
      <c r="BH154" s="144"/>
      <c r="BI154" s="144"/>
      <c r="BJ154" s="144"/>
      <c r="BK154" s="167"/>
      <c r="BL154" s="168"/>
      <c r="BM154" s="168"/>
      <c r="BN154" s="168"/>
      <c r="BO154" s="168"/>
      <c r="BP154" s="168"/>
      <c r="BQ154" s="168"/>
      <c r="BR154" s="168"/>
      <c r="BS154" s="168"/>
      <c r="BT154" s="168"/>
      <c r="BU154" s="168"/>
      <c r="BV154" s="144"/>
      <c r="BW154" s="144"/>
      <c r="BX154" s="144"/>
      <c r="BY154" s="144"/>
      <c r="BZ154" s="144"/>
      <c r="CA154" s="144"/>
      <c r="CB154" s="144">
        <f t="shared" si="305"/>
        <v>9417.2919999999995</v>
      </c>
      <c r="CC154" s="144"/>
      <c r="CD154" s="144">
        <v>9417.2919999999995</v>
      </c>
      <c r="CE154" s="168"/>
      <c r="CF154" s="168"/>
      <c r="CG154" s="144"/>
      <c r="CH154" s="144"/>
      <c r="CI154" s="144"/>
      <c r="CJ154" s="144"/>
      <c r="CK154" s="144"/>
      <c r="CL154" s="144"/>
      <c r="CM154" s="144"/>
      <c r="CN154" s="144"/>
      <c r="CO154" s="144"/>
      <c r="CP154" s="144"/>
      <c r="CQ154" s="144"/>
      <c r="CR154" s="144"/>
      <c r="CS154" s="144"/>
      <c r="CT154" s="144"/>
      <c r="CU154" s="144"/>
      <c r="CV154" s="144"/>
      <c r="CW154" s="144">
        <f t="shared" si="306"/>
        <v>9417.2919999999995</v>
      </c>
      <c r="CX154" s="144"/>
      <c r="CY154" s="144">
        <v>9417.2919999999995</v>
      </c>
      <c r="CZ154" s="144">
        <f t="shared" si="307"/>
        <v>0</v>
      </c>
      <c r="DA154" s="144"/>
      <c r="DB154" s="144"/>
      <c r="DC154" s="144"/>
      <c r="DD154" s="144"/>
      <c r="DE154" s="144"/>
      <c r="DF154" s="144">
        <f t="shared" si="308"/>
        <v>0</v>
      </c>
      <c r="DG154" s="144"/>
      <c r="DH154" s="144"/>
      <c r="DI154" s="144">
        <f t="shared" si="283"/>
        <v>9417.2919999999995</v>
      </c>
      <c r="DJ154" s="144"/>
      <c r="DK154" s="144">
        <f>CY154</f>
        <v>9417.2919999999995</v>
      </c>
      <c r="DL154" s="144">
        <f t="shared" si="309"/>
        <v>9417.2919999999995</v>
      </c>
      <c r="DM154" s="144"/>
      <c r="DN154" s="144">
        <f>DK154</f>
        <v>9417.2919999999995</v>
      </c>
      <c r="DO154" s="144">
        <f t="shared" si="310"/>
        <v>0</v>
      </c>
      <c r="DP154" s="144"/>
      <c r="DQ154" s="144"/>
      <c r="DR154" s="144">
        <f t="shared" si="311"/>
        <v>0</v>
      </c>
      <c r="DS154" s="144"/>
      <c r="DT154" s="144">
        <f>DK154-DN154-DQ154</f>
        <v>0</v>
      </c>
      <c r="DU154" s="144">
        <f t="shared" si="312"/>
        <v>0</v>
      </c>
      <c r="DV154" s="144"/>
      <c r="DW154" s="144"/>
      <c r="DX154" s="144">
        <f t="shared" si="313"/>
        <v>0</v>
      </c>
      <c r="DY154" s="144"/>
      <c r="DZ154" s="144"/>
      <c r="EA154" s="144"/>
      <c r="EB154" s="144"/>
      <c r="EC154" s="144"/>
      <c r="ED154" s="144"/>
      <c r="EE154" s="144"/>
      <c r="EF154" s="144"/>
      <c r="EG154" s="144">
        <f t="shared" si="318"/>
        <v>9417.2919999999995</v>
      </c>
      <c r="EH154" s="144"/>
      <c r="EI154" s="144"/>
      <c r="EJ154" s="144">
        <v>9417.2919999999995</v>
      </c>
      <c r="EK154" s="144">
        <f t="shared" si="319"/>
        <v>0</v>
      </c>
      <c r="EL154" s="144"/>
      <c r="EM154" s="144"/>
      <c r="EN154" s="144"/>
      <c r="EO154" s="144">
        <f t="shared" si="331"/>
        <v>-9417.2919999999995</v>
      </c>
      <c r="EP154" s="144"/>
      <c r="EQ154" s="144"/>
      <c r="ER154" s="144">
        <f>EV154-EJ154</f>
        <v>-9417.2919999999995</v>
      </c>
      <c r="ES154" s="164">
        <f t="shared" si="314"/>
        <v>0</v>
      </c>
      <c r="ET154" s="164">
        <f>ED154</f>
        <v>0</v>
      </c>
      <c r="EU154" s="164"/>
      <c r="EV154" s="144">
        <f>FR154-EJ154</f>
        <v>0</v>
      </c>
      <c r="EW154" s="144">
        <f t="shared" si="315"/>
        <v>0</v>
      </c>
      <c r="EX154" s="144"/>
      <c r="EY154" s="144"/>
      <c r="EZ154" s="144"/>
      <c r="FA154" s="144"/>
      <c r="FB154" s="144"/>
      <c r="FC154" s="143">
        <f t="shared" si="320"/>
        <v>9417.2919999999995</v>
      </c>
      <c r="FD154" s="143"/>
      <c r="FE154" s="143"/>
      <c r="FF154" s="143">
        <v>9417.2919999999995</v>
      </c>
      <c r="FG154" s="143">
        <f t="shared" si="340"/>
        <v>0</v>
      </c>
      <c r="FH154" s="143"/>
      <c r="FI154" s="143"/>
      <c r="FJ154" s="143"/>
      <c r="FK154" s="143">
        <f t="shared" si="332"/>
        <v>9417.2919999999995</v>
      </c>
      <c r="FL154" s="143"/>
      <c r="FM154" s="143"/>
      <c r="FN154" s="143">
        <f>FR154</f>
        <v>9417.2919999999995</v>
      </c>
      <c r="FO154" s="143">
        <f t="shared" si="321"/>
        <v>9417.2919999999995</v>
      </c>
      <c r="FP154" s="143"/>
      <c r="FQ154" s="143"/>
      <c r="FR154" s="143">
        <v>9417.2919999999995</v>
      </c>
      <c r="FS154" s="90">
        <f t="shared" si="338"/>
        <v>0</v>
      </c>
      <c r="FT154" s="518">
        <f t="shared" si="241"/>
        <v>0</v>
      </c>
      <c r="FU154" s="90">
        <v>0</v>
      </c>
      <c r="FV154" s="518">
        <v>0</v>
      </c>
      <c r="FW154" s="87">
        <f t="shared" si="333"/>
        <v>0</v>
      </c>
      <c r="FX154" s="665">
        <v>0</v>
      </c>
      <c r="FY154" s="90">
        <f t="shared" si="335"/>
        <v>0</v>
      </c>
      <c r="FZ154" s="518">
        <f t="shared" si="322"/>
        <v>0</v>
      </c>
      <c r="GA154" s="90">
        <f t="shared" si="247"/>
        <v>0</v>
      </c>
      <c r="GB154" s="518">
        <f t="shared" si="248"/>
        <v>0</v>
      </c>
      <c r="GC154" s="90"/>
      <c r="GD154" s="518"/>
      <c r="GE154" s="87"/>
      <c r="GF154" s="515"/>
      <c r="GG154" s="87">
        <f t="shared" si="336"/>
        <v>0</v>
      </c>
      <c r="GH154" s="515">
        <f t="shared" si="323"/>
        <v>0</v>
      </c>
      <c r="GI154" s="90">
        <f t="shared" si="243"/>
        <v>9417.2919999999995</v>
      </c>
      <c r="GJ154" s="518">
        <f t="shared" si="244"/>
        <v>1</v>
      </c>
      <c r="GK154" s="90">
        <f t="shared" si="337"/>
        <v>0</v>
      </c>
      <c r="GL154" s="518">
        <v>0</v>
      </c>
      <c r="GM154" s="90">
        <f t="shared" si="334"/>
        <v>0</v>
      </c>
      <c r="GN154" s="518">
        <v>0</v>
      </c>
      <c r="GO154" s="90">
        <f>FF154</f>
        <v>9417.2919999999995</v>
      </c>
      <c r="GP154" s="518">
        <f t="shared" si="294"/>
        <v>1</v>
      </c>
      <c r="GQ154" s="144"/>
      <c r="GR154" s="144"/>
      <c r="GS154" s="144"/>
      <c r="GT154" s="144"/>
      <c r="GU154" s="144">
        <f t="shared" si="324"/>
        <v>0</v>
      </c>
      <c r="GV154" s="144"/>
      <c r="GW154" s="144"/>
      <c r="GX154" s="144">
        <v>0</v>
      </c>
      <c r="GY154" s="144"/>
      <c r="GZ154" s="144"/>
      <c r="HA154" s="144"/>
      <c r="HB154" s="144"/>
      <c r="HC154" s="144"/>
      <c r="HD154" s="144"/>
      <c r="HE154" s="144"/>
      <c r="HF154" s="144"/>
      <c r="HG154" s="144">
        <f t="shared" si="341"/>
        <v>0</v>
      </c>
      <c r="HH154" s="144"/>
      <c r="HI154" s="144"/>
      <c r="HJ154" s="144">
        <f>HC154</f>
        <v>0</v>
      </c>
      <c r="HK154" s="144">
        <f t="shared" si="342"/>
        <v>0</v>
      </c>
      <c r="HL154" s="144"/>
      <c r="HM154" s="144"/>
      <c r="HN154" s="144">
        <f>HG154</f>
        <v>0</v>
      </c>
      <c r="HO154" s="144">
        <f t="shared" si="343"/>
        <v>0</v>
      </c>
      <c r="HP154" s="144"/>
      <c r="HQ154" s="144"/>
      <c r="HR154" s="144">
        <f>HG154</f>
        <v>0</v>
      </c>
      <c r="HS154" s="144">
        <f t="shared" si="344"/>
        <v>0</v>
      </c>
      <c r="HT154" s="144"/>
      <c r="HU154" s="144"/>
      <c r="HV154" s="144">
        <f>HO154</f>
        <v>0</v>
      </c>
      <c r="HW154" s="144">
        <f t="shared" si="345"/>
        <v>0</v>
      </c>
      <c r="HX154" s="144"/>
      <c r="HY154" s="144"/>
      <c r="HZ154" s="144">
        <f>HS154</f>
        <v>0</v>
      </c>
      <c r="IA154" s="144">
        <f t="shared" si="346"/>
        <v>0</v>
      </c>
      <c r="IB154" s="144"/>
      <c r="IC154" s="144"/>
      <c r="ID154" s="144">
        <f>HW154</f>
        <v>0</v>
      </c>
      <c r="IE154" s="548" t="s">
        <v>252</v>
      </c>
      <c r="IF154" s="145" t="s">
        <v>229</v>
      </c>
      <c r="IG154" s="145"/>
      <c r="IH154" s="145"/>
    </row>
    <row r="155" spans="2:242" s="225" customFormat="1" ht="103.5" customHeight="1" x14ac:dyDescent="0.2">
      <c r="B155" s="186" t="s">
        <v>221</v>
      </c>
      <c r="C155" s="226" t="s">
        <v>497</v>
      </c>
      <c r="D155" s="222"/>
      <c r="E155" s="143"/>
      <c r="F155" s="143"/>
      <c r="G155" s="143"/>
      <c r="H155" s="143"/>
      <c r="I155" s="143"/>
      <c r="J155" s="143"/>
      <c r="K155" s="143"/>
      <c r="L155" s="143"/>
      <c r="M155" s="143"/>
      <c r="N155" s="143"/>
      <c r="O155" s="143"/>
      <c r="P155" s="143"/>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68"/>
      <c r="AL155" s="168"/>
      <c r="AM155" s="223"/>
      <c r="AN155" s="223"/>
      <c r="AO155" s="166"/>
      <c r="AP155" s="144"/>
      <c r="AQ155" s="144"/>
      <c r="AR155" s="168"/>
      <c r="AS155" s="144"/>
      <c r="AT155" s="144"/>
      <c r="AU155" s="144"/>
      <c r="AV155" s="144"/>
      <c r="AW155" s="144"/>
      <c r="AX155" s="144"/>
      <c r="AY155" s="144"/>
      <c r="AZ155" s="144"/>
      <c r="BA155" s="144"/>
      <c r="BB155" s="144"/>
      <c r="BC155" s="144"/>
      <c r="BD155" s="144"/>
      <c r="BE155" s="144"/>
      <c r="BF155" s="144"/>
      <c r="BG155" s="144"/>
      <c r="BH155" s="144"/>
      <c r="BI155" s="144"/>
      <c r="BJ155" s="144"/>
      <c r="BK155" s="167"/>
      <c r="BL155" s="168"/>
      <c r="BM155" s="168"/>
      <c r="BN155" s="168"/>
      <c r="BO155" s="168"/>
      <c r="BP155" s="168"/>
      <c r="BQ155" s="168"/>
      <c r="BR155" s="168"/>
      <c r="BS155" s="168"/>
      <c r="BT155" s="168"/>
      <c r="BU155" s="168"/>
      <c r="BV155" s="144"/>
      <c r="BW155" s="144"/>
      <c r="BX155" s="144"/>
      <c r="BY155" s="144"/>
      <c r="BZ155" s="144"/>
      <c r="CA155" s="144"/>
      <c r="CB155" s="144"/>
      <c r="CC155" s="144"/>
      <c r="CD155" s="144"/>
      <c r="CE155" s="168"/>
      <c r="CF155" s="168"/>
      <c r="CG155" s="144"/>
      <c r="CH155" s="144"/>
      <c r="CI155" s="144"/>
      <c r="CJ155" s="144"/>
      <c r="CK155" s="144"/>
      <c r="CL155" s="144"/>
      <c r="CM155" s="144"/>
      <c r="CN155" s="144"/>
      <c r="CO155" s="144"/>
      <c r="CP155" s="144"/>
      <c r="CQ155" s="144"/>
      <c r="CR155" s="144"/>
      <c r="CS155" s="144"/>
      <c r="CT155" s="144"/>
      <c r="CU155" s="144"/>
      <c r="CV155" s="144"/>
      <c r="CW155" s="144"/>
      <c r="CX155" s="144"/>
      <c r="CY155" s="144"/>
      <c r="CZ155" s="144"/>
      <c r="DA155" s="144"/>
      <c r="DB155" s="144"/>
      <c r="DC155" s="144"/>
      <c r="DD155" s="144"/>
      <c r="DE155" s="144"/>
      <c r="DF155" s="144"/>
      <c r="DG155" s="144"/>
      <c r="DH155" s="144"/>
      <c r="DI155" s="144"/>
      <c r="DJ155" s="144"/>
      <c r="DK155" s="144"/>
      <c r="DL155" s="144"/>
      <c r="DM155" s="144"/>
      <c r="DN155" s="144"/>
      <c r="DO155" s="144"/>
      <c r="DP155" s="144"/>
      <c r="DQ155" s="144"/>
      <c r="DR155" s="144"/>
      <c r="DS155" s="144"/>
      <c r="DT155" s="144"/>
      <c r="DU155" s="144"/>
      <c r="DV155" s="144"/>
      <c r="DW155" s="144"/>
      <c r="DX155" s="144"/>
      <c r="DY155" s="144"/>
      <c r="DZ155" s="144"/>
      <c r="EA155" s="144"/>
      <c r="EB155" s="144"/>
      <c r="EC155" s="144"/>
      <c r="ED155" s="144"/>
      <c r="EE155" s="144"/>
      <c r="EF155" s="144"/>
      <c r="EG155" s="144"/>
      <c r="EH155" s="144"/>
      <c r="EI155" s="144"/>
      <c r="EJ155" s="144"/>
      <c r="EK155" s="144"/>
      <c r="EL155" s="144"/>
      <c r="EM155" s="144"/>
      <c r="EN155" s="144"/>
      <c r="EO155" s="144"/>
      <c r="EP155" s="144"/>
      <c r="EQ155" s="144"/>
      <c r="ER155" s="144"/>
      <c r="ES155" s="164"/>
      <c r="ET155" s="164"/>
      <c r="EU155" s="164"/>
      <c r="EV155" s="144"/>
      <c r="EW155" s="144"/>
      <c r="EX155" s="144"/>
      <c r="EY155" s="144"/>
      <c r="EZ155" s="144"/>
      <c r="FA155" s="144"/>
      <c r="FB155" s="144"/>
      <c r="FC155" s="143">
        <f t="shared" si="320"/>
        <v>5089.8</v>
      </c>
      <c r="FD155" s="143"/>
      <c r="FE155" s="143"/>
      <c r="FF155" s="143">
        <v>5089.8</v>
      </c>
      <c r="FG155" s="143">
        <f t="shared" si="340"/>
        <v>0</v>
      </c>
      <c r="FH155" s="143"/>
      <c r="FI155" s="143"/>
      <c r="FJ155" s="143">
        <f>FR155-FF155</f>
        <v>0</v>
      </c>
      <c r="FK155" s="143"/>
      <c r="FL155" s="143"/>
      <c r="FM155" s="143"/>
      <c r="FN155" s="143"/>
      <c r="FO155" s="143">
        <f t="shared" si="321"/>
        <v>5089.8</v>
      </c>
      <c r="FP155" s="143"/>
      <c r="FQ155" s="143"/>
      <c r="FR155" s="143">
        <v>5089.8</v>
      </c>
      <c r="FS155" s="90">
        <f t="shared" si="338"/>
        <v>5009.7674900000002</v>
      </c>
      <c r="FT155" s="518">
        <f t="shared" si="241"/>
        <v>0.98427590278596411</v>
      </c>
      <c r="FU155" s="90">
        <v>0</v>
      </c>
      <c r="FV155" s="518">
        <v>0</v>
      </c>
      <c r="FW155" s="87">
        <f t="shared" si="333"/>
        <v>0</v>
      </c>
      <c r="FX155" s="665">
        <v>0</v>
      </c>
      <c r="FY155" s="90">
        <f>GG155</f>
        <v>5009.7674900000002</v>
      </c>
      <c r="FZ155" s="518">
        <f t="shared" si="322"/>
        <v>0.98427590278596411</v>
      </c>
      <c r="GA155" s="90">
        <f t="shared" si="247"/>
        <v>5009.7674900000002</v>
      </c>
      <c r="GB155" s="518">
        <f t="shared" si="248"/>
        <v>0.98427590278596411</v>
      </c>
      <c r="GC155" s="90"/>
      <c r="GD155" s="518"/>
      <c r="GE155" s="87"/>
      <c r="GF155" s="515"/>
      <c r="GG155" s="87">
        <v>5009.7674900000002</v>
      </c>
      <c r="GH155" s="515">
        <f t="shared" si="323"/>
        <v>0.98427590278596411</v>
      </c>
      <c r="GI155" s="90">
        <f t="shared" si="243"/>
        <v>5089.8</v>
      </c>
      <c r="GJ155" s="518">
        <f t="shared" si="244"/>
        <v>1</v>
      </c>
      <c r="GK155" s="90">
        <f t="shared" si="337"/>
        <v>0</v>
      </c>
      <c r="GL155" s="518">
        <v>0</v>
      </c>
      <c r="GM155" s="90">
        <f t="shared" si="334"/>
        <v>0</v>
      </c>
      <c r="GN155" s="518">
        <v>0</v>
      </c>
      <c r="GO155" s="90">
        <f>FF155</f>
        <v>5089.8</v>
      </c>
      <c r="GP155" s="518">
        <f t="shared" si="294"/>
        <v>1</v>
      </c>
      <c r="GQ155" s="144"/>
      <c r="GR155" s="144"/>
      <c r="GS155" s="144"/>
      <c r="GT155" s="144"/>
      <c r="GU155" s="144"/>
      <c r="GV155" s="144"/>
      <c r="GW155" s="144"/>
      <c r="GX155" s="144"/>
      <c r="GY155" s="144"/>
      <c r="GZ155" s="144"/>
      <c r="HA155" s="144"/>
      <c r="HB155" s="144"/>
      <c r="HC155" s="144"/>
      <c r="HD155" s="144"/>
      <c r="HE155" s="144"/>
      <c r="HF155" s="144"/>
      <c r="HG155" s="144"/>
      <c r="HH155" s="144"/>
      <c r="HI155" s="144"/>
      <c r="HJ155" s="144"/>
      <c r="HK155" s="144"/>
      <c r="HL155" s="144"/>
      <c r="HM155" s="144"/>
      <c r="HN155" s="144"/>
      <c r="HO155" s="144"/>
      <c r="HP155" s="144"/>
      <c r="HQ155" s="144"/>
      <c r="HR155" s="144"/>
      <c r="HS155" s="144"/>
      <c r="HT155" s="144"/>
      <c r="HU155" s="144"/>
      <c r="HV155" s="144"/>
      <c r="HW155" s="144"/>
      <c r="HX155" s="144"/>
      <c r="HY155" s="144"/>
      <c r="HZ155" s="144"/>
      <c r="IA155" s="144"/>
      <c r="IB155" s="144"/>
      <c r="IC155" s="144"/>
      <c r="ID155" s="144"/>
      <c r="IE155" s="548"/>
      <c r="IF155" s="145" t="s">
        <v>229</v>
      </c>
      <c r="IG155" s="145"/>
      <c r="IH155" s="145"/>
    </row>
    <row r="156" spans="2:242" s="225" customFormat="1" ht="90" customHeight="1" x14ac:dyDescent="0.2">
      <c r="B156" s="186" t="s">
        <v>78</v>
      </c>
      <c r="C156" s="226" t="s">
        <v>498</v>
      </c>
      <c r="D156" s="222"/>
      <c r="E156" s="143"/>
      <c r="F156" s="143"/>
      <c r="G156" s="143"/>
      <c r="H156" s="143"/>
      <c r="I156" s="143"/>
      <c r="J156" s="143"/>
      <c r="K156" s="143"/>
      <c r="L156" s="143"/>
      <c r="M156" s="143"/>
      <c r="N156" s="143"/>
      <c r="O156" s="143"/>
      <c r="P156" s="143"/>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68"/>
      <c r="AL156" s="168"/>
      <c r="AM156" s="223"/>
      <c r="AN156" s="223"/>
      <c r="AO156" s="166"/>
      <c r="AP156" s="144"/>
      <c r="AQ156" s="144"/>
      <c r="AR156" s="168"/>
      <c r="AS156" s="144"/>
      <c r="AT156" s="144"/>
      <c r="AU156" s="144"/>
      <c r="AV156" s="144"/>
      <c r="AW156" s="144"/>
      <c r="AX156" s="144"/>
      <c r="AY156" s="144"/>
      <c r="AZ156" s="144"/>
      <c r="BA156" s="144"/>
      <c r="BB156" s="144"/>
      <c r="BC156" s="144"/>
      <c r="BD156" s="144"/>
      <c r="BE156" s="144"/>
      <c r="BF156" s="144"/>
      <c r="BG156" s="144"/>
      <c r="BH156" s="144"/>
      <c r="BI156" s="144"/>
      <c r="BJ156" s="144"/>
      <c r="BK156" s="167"/>
      <c r="BL156" s="168"/>
      <c r="BM156" s="168"/>
      <c r="BN156" s="168"/>
      <c r="BO156" s="168"/>
      <c r="BP156" s="168"/>
      <c r="BQ156" s="168"/>
      <c r="BR156" s="168"/>
      <c r="BS156" s="168"/>
      <c r="BT156" s="168"/>
      <c r="BU156" s="168"/>
      <c r="BV156" s="144"/>
      <c r="BW156" s="144"/>
      <c r="BX156" s="144"/>
      <c r="BY156" s="144"/>
      <c r="BZ156" s="144"/>
      <c r="CA156" s="144"/>
      <c r="CB156" s="144">
        <f t="shared" si="305"/>
        <v>0</v>
      </c>
      <c r="CC156" s="144"/>
      <c r="CD156" s="144"/>
      <c r="CE156" s="168"/>
      <c r="CF156" s="168"/>
      <c r="CG156" s="144"/>
      <c r="CH156" s="144"/>
      <c r="CI156" s="144"/>
      <c r="CJ156" s="144"/>
      <c r="CK156" s="144"/>
      <c r="CL156" s="144"/>
      <c r="CM156" s="144"/>
      <c r="CN156" s="144"/>
      <c r="CO156" s="144"/>
      <c r="CP156" s="144"/>
      <c r="CQ156" s="144"/>
      <c r="CR156" s="144"/>
      <c r="CS156" s="144"/>
      <c r="CT156" s="144"/>
      <c r="CU156" s="144"/>
      <c r="CV156" s="144"/>
      <c r="CW156" s="144">
        <f t="shared" si="306"/>
        <v>0</v>
      </c>
      <c r="CX156" s="144"/>
      <c r="CY156" s="227"/>
      <c r="CZ156" s="144">
        <f t="shared" si="307"/>
        <v>0</v>
      </c>
      <c r="DA156" s="144"/>
      <c r="DB156" s="144"/>
      <c r="DC156" s="144"/>
      <c r="DD156" s="144"/>
      <c r="DE156" s="144"/>
      <c r="DF156" s="144">
        <f t="shared" si="308"/>
        <v>0</v>
      </c>
      <c r="DG156" s="144"/>
      <c r="DH156" s="144"/>
      <c r="DI156" s="144">
        <f t="shared" si="283"/>
        <v>0</v>
      </c>
      <c r="DJ156" s="144"/>
      <c r="DK156" s="144"/>
      <c r="DL156" s="144">
        <f t="shared" si="309"/>
        <v>0</v>
      </c>
      <c r="DM156" s="144"/>
      <c r="DN156" s="144"/>
      <c r="DO156" s="144">
        <f t="shared" si="310"/>
        <v>0</v>
      </c>
      <c r="DP156" s="144"/>
      <c r="DQ156" s="144"/>
      <c r="DR156" s="144">
        <f t="shared" si="311"/>
        <v>0</v>
      </c>
      <c r="DS156" s="144"/>
      <c r="DT156" s="144"/>
      <c r="DU156" s="144">
        <f t="shared" si="312"/>
        <v>0</v>
      </c>
      <c r="DV156" s="144"/>
      <c r="DW156" s="144"/>
      <c r="DX156" s="144">
        <f t="shared" si="313"/>
        <v>12988</v>
      </c>
      <c r="DY156" s="144"/>
      <c r="DZ156" s="144">
        <f>[4]Лист1!$M$41</f>
        <v>12988</v>
      </c>
      <c r="EA156" s="144"/>
      <c r="EB156" s="144"/>
      <c r="EC156" s="144"/>
      <c r="ED156" s="144"/>
      <c r="EE156" s="144"/>
      <c r="EF156" s="144"/>
      <c r="EG156" s="144">
        <f t="shared" si="318"/>
        <v>12988</v>
      </c>
      <c r="EH156" s="144"/>
      <c r="EI156" s="144"/>
      <c r="EJ156" s="144">
        <f>DX156</f>
        <v>12988</v>
      </c>
      <c r="EK156" s="144">
        <f t="shared" si="319"/>
        <v>0</v>
      </c>
      <c r="EL156" s="144"/>
      <c r="EM156" s="144"/>
      <c r="EN156" s="144"/>
      <c r="EO156" s="144">
        <f t="shared" si="331"/>
        <v>-12988</v>
      </c>
      <c r="EP156" s="144"/>
      <c r="EQ156" s="144"/>
      <c r="ER156" s="144">
        <f>EV156-EJ156</f>
        <v>-12988</v>
      </c>
      <c r="ES156" s="164">
        <f t="shared" si="314"/>
        <v>0</v>
      </c>
      <c r="ET156" s="164">
        <f>ED156</f>
        <v>0</v>
      </c>
      <c r="EU156" s="164"/>
      <c r="EV156" s="144">
        <f>EE156+EN156</f>
        <v>0</v>
      </c>
      <c r="EW156" s="144">
        <f t="shared" si="315"/>
        <v>12988</v>
      </c>
      <c r="EX156" s="144"/>
      <c r="EY156" s="144">
        <f>[4]Лист1!$M$41</f>
        <v>12988</v>
      </c>
      <c r="EZ156" s="144"/>
      <c r="FA156" s="144"/>
      <c r="FB156" s="144"/>
      <c r="FC156" s="143">
        <f t="shared" si="320"/>
        <v>12988</v>
      </c>
      <c r="FD156" s="143"/>
      <c r="FE156" s="143"/>
      <c r="FF156" s="143">
        <v>12988</v>
      </c>
      <c r="FG156" s="143">
        <f t="shared" si="340"/>
        <v>0</v>
      </c>
      <c r="FH156" s="143"/>
      <c r="FI156" s="143"/>
      <c r="FJ156" s="143"/>
      <c r="FK156" s="143">
        <f>FN156</f>
        <v>0</v>
      </c>
      <c r="FL156" s="143"/>
      <c r="FM156" s="143"/>
      <c r="FN156" s="143">
        <f>FR156-FF156</f>
        <v>0</v>
      </c>
      <c r="FO156" s="143">
        <f t="shared" si="321"/>
        <v>12988</v>
      </c>
      <c r="FP156" s="143"/>
      <c r="FQ156" s="143"/>
      <c r="FR156" s="143">
        <f>FF156</f>
        <v>12988</v>
      </c>
      <c r="FS156" s="90">
        <f t="shared" si="338"/>
        <v>0</v>
      </c>
      <c r="FT156" s="518">
        <f t="shared" si="241"/>
        <v>0</v>
      </c>
      <c r="FU156" s="90">
        <v>0</v>
      </c>
      <c r="FV156" s="518">
        <v>0</v>
      </c>
      <c r="FW156" s="87">
        <f t="shared" si="333"/>
        <v>0</v>
      </c>
      <c r="FX156" s="665">
        <v>0</v>
      </c>
      <c r="FY156" s="90">
        <f t="shared" si="335"/>
        <v>0</v>
      </c>
      <c r="FZ156" s="518">
        <f t="shared" si="322"/>
        <v>0</v>
      </c>
      <c r="GA156" s="90">
        <f t="shared" si="247"/>
        <v>0</v>
      </c>
      <c r="GB156" s="518">
        <f t="shared" si="248"/>
        <v>0</v>
      </c>
      <c r="GC156" s="90"/>
      <c r="GD156" s="518"/>
      <c r="GE156" s="87"/>
      <c r="GF156" s="515"/>
      <c r="GG156" s="87">
        <f t="shared" si="336"/>
        <v>0</v>
      </c>
      <c r="GH156" s="515">
        <f t="shared" si="323"/>
        <v>0</v>
      </c>
      <c r="GI156" s="90">
        <f t="shared" si="243"/>
        <v>12988</v>
      </c>
      <c r="GJ156" s="518">
        <f t="shared" si="244"/>
        <v>1</v>
      </c>
      <c r="GK156" s="90">
        <f t="shared" si="337"/>
        <v>0</v>
      </c>
      <c r="GL156" s="518">
        <v>0</v>
      </c>
      <c r="GM156" s="90">
        <f t="shared" si="334"/>
        <v>0</v>
      </c>
      <c r="GN156" s="518">
        <v>0</v>
      </c>
      <c r="GO156" s="90">
        <f>FF156</f>
        <v>12988</v>
      </c>
      <c r="GP156" s="518">
        <f t="shared" si="294"/>
        <v>1</v>
      </c>
      <c r="GQ156" s="144"/>
      <c r="GR156" s="144"/>
      <c r="GS156" s="144"/>
      <c r="GT156" s="144"/>
      <c r="GU156" s="144">
        <f t="shared" si="324"/>
        <v>19000</v>
      </c>
      <c r="GV156" s="144"/>
      <c r="GW156" s="144"/>
      <c r="GX156" s="144">
        <v>19000</v>
      </c>
      <c r="GY156" s="144"/>
      <c r="GZ156" s="144"/>
      <c r="HA156" s="144"/>
      <c r="HB156" s="144"/>
      <c r="HC156" s="144"/>
      <c r="HD156" s="144"/>
      <c r="HE156" s="144"/>
      <c r="HF156" s="144"/>
      <c r="HG156" s="144">
        <f t="shared" si="341"/>
        <v>0</v>
      </c>
      <c r="HH156" s="144"/>
      <c r="HI156" s="144"/>
      <c r="HJ156" s="144">
        <f>HR156-GX156</f>
        <v>0</v>
      </c>
      <c r="HK156" s="144">
        <f t="shared" si="342"/>
        <v>0</v>
      </c>
      <c r="HL156" s="144"/>
      <c r="HM156" s="144"/>
      <c r="HN156" s="144">
        <f>IH156-HB156</f>
        <v>0</v>
      </c>
      <c r="HO156" s="144">
        <f t="shared" si="343"/>
        <v>19000</v>
      </c>
      <c r="HP156" s="144"/>
      <c r="HQ156" s="144"/>
      <c r="HR156" s="144">
        <v>19000</v>
      </c>
      <c r="HS156" s="144">
        <f t="shared" si="344"/>
        <v>0</v>
      </c>
      <c r="HT156" s="144"/>
      <c r="HU156" s="144"/>
      <c r="HV156" s="144">
        <v>0</v>
      </c>
      <c r="HW156" s="144">
        <f t="shared" si="345"/>
        <v>0</v>
      </c>
      <c r="HX156" s="144"/>
      <c r="HY156" s="144"/>
      <c r="HZ156" s="144">
        <f>IT156-HN156</f>
        <v>0</v>
      </c>
      <c r="IA156" s="144">
        <f t="shared" si="346"/>
        <v>0</v>
      </c>
      <c r="IB156" s="144"/>
      <c r="IC156" s="144"/>
      <c r="ID156" s="144">
        <v>0</v>
      </c>
      <c r="IE156" s="548" t="s">
        <v>253</v>
      </c>
      <c r="IF156" s="145" t="s">
        <v>238</v>
      </c>
      <c r="IG156" s="145"/>
      <c r="IH156" s="145"/>
    </row>
    <row r="157" spans="2:242" s="225" customFormat="1" ht="74.25" customHeight="1" x14ac:dyDescent="0.2">
      <c r="B157" s="186" t="s">
        <v>79</v>
      </c>
      <c r="C157" s="226" t="s">
        <v>499</v>
      </c>
      <c r="D157" s="222"/>
      <c r="E157" s="143"/>
      <c r="F157" s="143"/>
      <c r="G157" s="143"/>
      <c r="H157" s="143"/>
      <c r="I157" s="143"/>
      <c r="J157" s="143"/>
      <c r="K157" s="143"/>
      <c r="L157" s="143"/>
      <c r="M157" s="143"/>
      <c r="N157" s="143"/>
      <c r="O157" s="143"/>
      <c r="P157" s="143"/>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68"/>
      <c r="AL157" s="168"/>
      <c r="AM157" s="223"/>
      <c r="AN157" s="223"/>
      <c r="AO157" s="166"/>
      <c r="AP157" s="144"/>
      <c r="AQ157" s="144"/>
      <c r="AR157" s="168"/>
      <c r="AS157" s="144"/>
      <c r="AT157" s="144"/>
      <c r="AU157" s="144"/>
      <c r="AV157" s="144"/>
      <c r="AW157" s="144"/>
      <c r="AX157" s="144"/>
      <c r="AY157" s="144"/>
      <c r="AZ157" s="144"/>
      <c r="BA157" s="144"/>
      <c r="BB157" s="144"/>
      <c r="BC157" s="144"/>
      <c r="BD157" s="144"/>
      <c r="BE157" s="144"/>
      <c r="BF157" s="144"/>
      <c r="BG157" s="144"/>
      <c r="BH157" s="144"/>
      <c r="BI157" s="144"/>
      <c r="BJ157" s="144"/>
      <c r="BK157" s="167"/>
      <c r="BL157" s="168"/>
      <c r="BM157" s="168"/>
      <c r="BN157" s="168"/>
      <c r="BO157" s="168"/>
      <c r="BP157" s="168"/>
      <c r="BQ157" s="168"/>
      <c r="BR157" s="168"/>
      <c r="BS157" s="168"/>
      <c r="BT157" s="168"/>
      <c r="BU157" s="168"/>
      <c r="BV157" s="144"/>
      <c r="BW157" s="144"/>
      <c r="BX157" s="144"/>
      <c r="BY157" s="144"/>
      <c r="BZ157" s="144"/>
      <c r="CA157" s="144"/>
      <c r="CB157" s="144"/>
      <c r="CC157" s="144"/>
      <c r="CD157" s="144"/>
      <c r="CE157" s="168"/>
      <c r="CF157" s="168"/>
      <c r="CG157" s="144"/>
      <c r="CH157" s="144"/>
      <c r="CI157" s="144"/>
      <c r="CJ157" s="144"/>
      <c r="CK157" s="144"/>
      <c r="CL157" s="144"/>
      <c r="CM157" s="144"/>
      <c r="CN157" s="144"/>
      <c r="CO157" s="144"/>
      <c r="CP157" s="144"/>
      <c r="CQ157" s="144"/>
      <c r="CR157" s="144"/>
      <c r="CS157" s="144"/>
      <c r="CT157" s="144"/>
      <c r="CU157" s="144"/>
      <c r="CV157" s="144"/>
      <c r="CW157" s="144"/>
      <c r="CX157" s="144"/>
      <c r="CY157" s="227"/>
      <c r="CZ157" s="144"/>
      <c r="DA157" s="144"/>
      <c r="DB157" s="144"/>
      <c r="DC157" s="144"/>
      <c r="DD157" s="144"/>
      <c r="DE157" s="144"/>
      <c r="DF157" s="144"/>
      <c r="DG157" s="144"/>
      <c r="DH157" s="144"/>
      <c r="DI157" s="144"/>
      <c r="DJ157" s="144"/>
      <c r="DK157" s="144"/>
      <c r="DL157" s="144"/>
      <c r="DM157" s="144"/>
      <c r="DN157" s="144"/>
      <c r="DO157" s="144"/>
      <c r="DP157" s="144"/>
      <c r="DQ157" s="144"/>
      <c r="DR157" s="144"/>
      <c r="DS157" s="144"/>
      <c r="DT157" s="144"/>
      <c r="DU157" s="144"/>
      <c r="DV157" s="144"/>
      <c r="DW157" s="144"/>
      <c r="DX157" s="144"/>
      <c r="DY157" s="144"/>
      <c r="DZ157" s="144"/>
      <c r="EA157" s="144"/>
      <c r="EB157" s="144"/>
      <c r="EC157" s="144"/>
      <c r="ED157" s="144"/>
      <c r="EE157" s="144"/>
      <c r="EF157" s="144"/>
      <c r="EG157" s="144">
        <f t="shared" si="318"/>
        <v>4413.5</v>
      </c>
      <c r="EH157" s="144"/>
      <c r="EI157" s="144"/>
      <c r="EJ157" s="144">
        <v>4413.5</v>
      </c>
      <c r="EK157" s="144">
        <v>0</v>
      </c>
      <c r="EL157" s="144"/>
      <c r="EM157" s="144"/>
      <c r="EN157" s="144"/>
      <c r="EO157" s="144">
        <f>ER157</f>
        <v>-4413.5</v>
      </c>
      <c r="EP157" s="144"/>
      <c r="EQ157" s="144"/>
      <c r="ER157" s="144">
        <f>EV157-EJ157</f>
        <v>-4413.5</v>
      </c>
      <c r="ES157" s="164">
        <f>EV157</f>
        <v>0</v>
      </c>
      <c r="ET157" s="164"/>
      <c r="EU157" s="164"/>
      <c r="EV157" s="144">
        <f>FR157-EJ157</f>
        <v>0</v>
      </c>
      <c r="EW157" s="144"/>
      <c r="EX157" s="144"/>
      <c r="EY157" s="144"/>
      <c r="EZ157" s="144"/>
      <c r="FA157" s="144"/>
      <c r="FB157" s="144"/>
      <c r="FC157" s="143">
        <f t="shared" si="320"/>
        <v>4413.5</v>
      </c>
      <c r="FD157" s="143"/>
      <c r="FE157" s="143"/>
      <c r="FF157" s="143">
        <v>4413.5</v>
      </c>
      <c r="FG157" s="143"/>
      <c r="FH157" s="143"/>
      <c r="FI157" s="143"/>
      <c r="FJ157" s="143"/>
      <c r="FK157" s="143">
        <f>FN157</f>
        <v>0</v>
      </c>
      <c r="FL157" s="143"/>
      <c r="FM157" s="143"/>
      <c r="FN157" s="143">
        <f>FR157-FF157</f>
        <v>0</v>
      </c>
      <c r="FO157" s="143">
        <f t="shared" si="321"/>
        <v>4413.5</v>
      </c>
      <c r="FP157" s="143"/>
      <c r="FQ157" s="143"/>
      <c r="FR157" s="143">
        <f>EJ157</f>
        <v>4413.5</v>
      </c>
      <c r="FS157" s="90">
        <f t="shared" si="338"/>
        <v>0</v>
      </c>
      <c r="FT157" s="518">
        <f t="shared" si="241"/>
        <v>0</v>
      </c>
      <c r="FU157" s="90">
        <v>0</v>
      </c>
      <c r="FV157" s="518">
        <v>0</v>
      </c>
      <c r="FW157" s="87">
        <f t="shared" si="333"/>
        <v>0</v>
      </c>
      <c r="FX157" s="665">
        <v>0</v>
      </c>
      <c r="FY157" s="90">
        <f t="shared" si="335"/>
        <v>0</v>
      </c>
      <c r="FZ157" s="518">
        <f t="shared" si="322"/>
        <v>0</v>
      </c>
      <c r="GA157" s="90">
        <f t="shared" si="247"/>
        <v>0</v>
      </c>
      <c r="GB157" s="518">
        <f t="shared" si="248"/>
        <v>0</v>
      </c>
      <c r="GC157" s="90"/>
      <c r="GD157" s="518"/>
      <c r="GE157" s="87"/>
      <c r="GF157" s="515"/>
      <c r="GG157" s="87">
        <f t="shared" si="336"/>
        <v>0</v>
      </c>
      <c r="GH157" s="515">
        <f t="shared" si="323"/>
        <v>0</v>
      </c>
      <c r="GI157" s="90">
        <f t="shared" si="243"/>
        <v>3643.2018400000002</v>
      </c>
      <c r="GJ157" s="518">
        <f t="shared" si="244"/>
        <v>0.82546773309165067</v>
      </c>
      <c r="GK157" s="90">
        <f t="shared" si="337"/>
        <v>0</v>
      </c>
      <c r="GL157" s="518">
        <v>0</v>
      </c>
      <c r="GM157" s="90">
        <f t="shared" si="334"/>
        <v>0</v>
      </c>
      <c r="GN157" s="518">
        <v>0</v>
      </c>
      <c r="GO157" s="90">
        <v>3643.2018400000002</v>
      </c>
      <c r="GP157" s="518">
        <f t="shared" si="294"/>
        <v>0.82546773309165067</v>
      </c>
      <c r="GQ157" s="144"/>
      <c r="GR157" s="144"/>
      <c r="GS157" s="144"/>
      <c r="GT157" s="144"/>
      <c r="GU157" s="144">
        <f t="shared" si="324"/>
        <v>0</v>
      </c>
      <c r="GV157" s="144"/>
      <c r="GW157" s="144"/>
      <c r="GX157" s="144">
        <v>0</v>
      </c>
      <c r="GY157" s="144"/>
      <c r="GZ157" s="144"/>
      <c r="HA157" s="144"/>
      <c r="HB157" s="144"/>
      <c r="HC157" s="144"/>
      <c r="HD157" s="144"/>
      <c r="HE157" s="144"/>
      <c r="HF157" s="144"/>
      <c r="HG157" s="144"/>
      <c r="HH157" s="144"/>
      <c r="HI157" s="144"/>
      <c r="HJ157" s="144"/>
      <c r="HK157" s="144">
        <f t="shared" si="342"/>
        <v>0</v>
      </c>
      <c r="HL157" s="144"/>
      <c r="HM157" s="144"/>
      <c r="HN157" s="144">
        <f>HR157-GX157</f>
        <v>0</v>
      </c>
      <c r="HO157" s="144">
        <f t="shared" si="343"/>
        <v>0</v>
      </c>
      <c r="HP157" s="144"/>
      <c r="HQ157" s="144"/>
      <c r="HR157" s="144">
        <v>0</v>
      </c>
      <c r="HS157" s="144">
        <f t="shared" si="344"/>
        <v>0</v>
      </c>
      <c r="HT157" s="144"/>
      <c r="HU157" s="144"/>
      <c r="HV157" s="144">
        <v>0</v>
      </c>
      <c r="HW157" s="144">
        <f t="shared" si="345"/>
        <v>0</v>
      </c>
      <c r="HX157" s="144"/>
      <c r="HY157" s="144"/>
      <c r="HZ157" s="144">
        <v>0</v>
      </c>
      <c r="IA157" s="144">
        <f t="shared" si="346"/>
        <v>0</v>
      </c>
      <c r="IB157" s="144"/>
      <c r="IC157" s="144"/>
      <c r="ID157" s="144">
        <v>0</v>
      </c>
      <c r="IE157" s="548" t="s">
        <v>254</v>
      </c>
      <c r="IF157" s="145" t="s">
        <v>229</v>
      </c>
      <c r="IG157" s="145"/>
      <c r="IH157" s="145"/>
    </row>
    <row r="158" spans="2:242" s="202" customFormat="1" ht="33" customHeight="1" x14ac:dyDescent="0.25">
      <c r="B158" s="100" t="s">
        <v>255</v>
      </c>
      <c r="C158" s="559" t="s">
        <v>256</v>
      </c>
      <c r="D158" s="102"/>
      <c r="E158" s="103"/>
      <c r="F158" s="103"/>
      <c r="G158" s="103"/>
      <c r="H158" s="103"/>
      <c r="I158" s="103"/>
      <c r="J158" s="103"/>
      <c r="K158" s="103"/>
      <c r="L158" s="103"/>
      <c r="M158" s="103"/>
      <c r="N158" s="103"/>
      <c r="O158" s="103"/>
      <c r="P158" s="103"/>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6"/>
      <c r="AL158" s="106"/>
      <c r="AM158" s="111"/>
      <c r="AN158" s="111"/>
      <c r="AO158" s="109"/>
      <c r="AP158" s="105"/>
      <c r="AQ158" s="105"/>
      <c r="AR158" s="106"/>
      <c r="AS158" s="105"/>
      <c r="AT158" s="105"/>
      <c r="AU158" s="105"/>
      <c r="AV158" s="105"/>
      <c r="AW158" s="105"/>
      <c r="AX158" s="105"/>
      <c r="AY158" s="105"/>
      <c r="AZ158" s="105"/>
      <c r="BA158" s="105"/>
      <c r="BB158" s="105"/>
      <c r="BC158" s="105"/>
      <c r="BD158" s="105"/>
      <c r="BE158" s="105"/>
      <c r="BF158" s="105"/>
      <c r="BG158" s="105"/>
      <c r="BH158" s="105"/>
      <c r="BI158" s="105"/>
      <c r="BJ158" s="105"/>
      <c r="BK158" s="110"/>
      <c r="BL158" s="106"/>
      <c r="BM158" s="106"/>
      <c r="BN158" s="106"/>
      <c r="BO158" s="106"/>
      <c r="BP158" s="106"/>
      <c r="BQ158" s="106"/>
      <c r="BR158" s="106"/>
      <c r="BS158" s="106"/>
      <c r="BT158" s="106"/>
      <c r="BU158" s="106"/>
      <c r="BV158" s="105"/>
      <c r="BW158" s="105"/>
      <c r="BX158" s="105"/>
      <c r="BY158" s="105"/>
      <c r="BZ158" s="105"/>
      <c r="CA158" s="105"/>
      <c r="CB158" s="105">
        <f>CC158+CD158</f>
        <v>0</v>
      </c>
      <c r="CC158" s="105">
        <f t="shared" ref="CC158:CV158" si="347">CC159+CC162</f>
        <v>0</v>
      </c>
      <c r="CD158" s="105">
        <f t="shared" si="347"/>
        <v>0</v>
      </c>
      <c r="CE158" s="105">
        <f t="shared" si="347"/>
        <v>0</v>
      </c>
      <c r="CF158" s="105">
        <f t="shared" si="347"/>
        <v>0</v>
      </c>
      <c r="CG158" s="105">
        <f t="shared" si="347"/>
        <v>0</v>
      </c>
      <c r="CH158" s="105">
        <f t="shared" si="347"/>
        <v>0</v>
      </c>
      <c r="CI158" s="105">
        <f t="shared" si="347"/>
        <v>0</v>
      </c>
      <c r="CJ158" s="105">
        <f t="shared" si="347"/>
        <v>0</v>
      </c>
      <c r="CK158" s="105">
        <f t="shared" si="347"/>
        <v>0</v>
      </c>
      <c r="CL158" s="105">
        <f t="shared" si="347"/>
        <v>0</v>
      </c>
      <c r="CM158" s="105">
        <f t="shared" si="347"/>
        <v>0</v>
      </c>
      <c r="CN158" s="105">
        <f t="shared" si="347"/>
        <v>0</v>
      </c>
      <c r="CO158" s="105">
        <f t="shared" si="347"/>
        <v>0</v>
      </c>
      <c r="CP158" s="105">
        <f t="shared" si="347"/>
        <v>0</v>
      </c>
      <c r="CQ158" s="105">
        <f t="shared" si="347"/>
        <v>0</v>
      </c>
      <c r="CR158" s="105">
        <f t="shared" si="347"/>
        <v>0</v>
      </c>
      <c r="CS158" s="105">
        <f t="shared" si="347"/>
        <v>0</v>
      </c>
      <c r="CT158" s="105">
        <f t="shared" si="347"/>
        <v>0</v>
      </c>
      <c r="CU158" s="105">
        <f t="shared" si="347"/>
        <v>0</v>
      </c>
      <c r="CV158" s="105">
        <f t="shared" si="347"/>
        <v>0</v>
      </c>
      <c r="CW158" s="105">
        <f>CX158+CY158</f>
        <v>8730.5</v>
      </c>
      <c r="CX158" s="105">
        <f>CX159+CX162</f>
        <v>0</v>
      </c>
      <c r="CY158" s="105">
        <f>CY159+CY162</f>
        <v>8730.5</v>
      </c>
      <c r="CZ158" s="105">
        <f>DA158+DB158</f>
        <v>0</v>
      </c>
      <c r="DA158" s="105">
        <f>DA159+DA162</f>
        <v>0</v>
      </c>
      <c r="DB158" s="105">
        <f>DB159+DB162</f>
        <v>0</v>
      </c>
      <c r="DC158" s="105"/>
      <c r="DD158" s="105"/>
      <c r="DE158" s="105"/>
      <c r="DF158" s="105">
        <f>DG158+DH158</f>
        <v>0</v>
      </c>
      <c r="DG158" s="105">
        <f>DG159+DG162</f>
        <v>0</v>
      </c>
      <c r="DH158" s="105">
        <f>DH159+DH162</f>
        <v>0</v>
      </c>
      <c r="DI158" s="105">
        <f>DJ158+DK158</f>
        <v>8730.5</v>
      </c>
      <c r="DJ158" s="105">
        <f>DJ159+DJ162</f>
        <v>0</v>
      </c>
      <c r="DK158" s="105">
        <f>DK159+DK162</f>
        <v>8730.5</v>
      </c>
      <c r="DL158" s="105">
        <f>DM158+DN158</f>
        <v>0</v>
      </c>
      <c r="DM158" s="105">
        <f>DM159+DM162</f>
        <v>0</v>
      </c>
      <c r="DN158" s="105">
        <f>DN159+DN162</f>
        <v>0</v>
      </c>
      <c r="DO158" s="105">
        <f>DP158+DQ158</f>
        <v>0</v>
      </c>
      <c r="DP158" s="105">
        <f>DP159+DP162</f>
        <v>0</v>
      </c>
      <c r="DQ158" s="105">
        <f>DQ159+DQ162</f>
        <v>0</v>
      </c>
      <c r="DR158" s="105">
        <f>DS158+DT158</f>
        <v>8730.5</v>
      </c>
      <c r="DS158" s="105">
        <f>DS159+DS162</f>
        <v>0</v>
      </c>
      <c r="DT158" s="105">
        <f>DT159+DT162</f>
        <v>8730.5</v>
      </c>
      <c r="DU158" s="105">
        <f>DV158+DW158</f>
        <v>0</v>
      </c>
      <c r="DV158" s="105">
        <f>DV159+DV162</f>
        <v>0</v>
      </c>
      <c r="DW158" s="105">
        <f>DW159+DW162</f>
        <v>0</v>
      </c>
      <c r="DX158" s="105">
        <f>DY158+DZ158</f>
        <v>22596.148000000001</v>
      </c>
      <c r="DY158" s="105">
        <f>DY159+DY162</f>
        <v>0</v>
      </c>
      <c r="DZ158" s="105">
        <f>DZ159+DZ162</f>
        <v>22596.148000000001</v>
      </c>
      <c r="EA158" s="105"/>
      <c r="EB158" s="105"/>
      <c r="EC158" s="105"/>
      <c r="ED158" s="105"/>
      <c r="EE158" s="105"/>
      <c r="EF158" s="105"/>
      <c r="EG158" s="105">
        <f t="shared" si="318"/>
        <v>32246.799999999999</v>
      </c>
      <c r="EH158" s="105"/>
      <c r="EI158" s="105"/>
      <c r="EJ158" s="105">
        <f>EJ159+EJ160+EJ161</f>
        <v>32246.799999999999</v>
      </c>
      <c r="EK158" s="105">
        <f>EL158+EN158</f>
        <v>0</v>
      </c>
      <c r="EL158" s="105">
        <f>EL159+EL162</f>
        <v>0</v>
      </c>
      <c r="EM158" s="105"/>
      <c r="EN158" s="105">
        <f>EN159+EN162</f>
        <v>0</v>
      </c>
      <c r="EO158" s="105">
        <f>EP158+ER158</f>
        <v>-32246.799999999999</v>
      </c>
      <c r="EP158" s="105">
        <f>EP159+EP162</f>
        <v>0</v>
      </c>
      <c r="EQ158" s="105"/>
      <c r="ER158" s="105">
        <f>ER159</f>
        <v>-32246.799999999999</v>
      </c>
      <c r="ES158" s="106">
        <f>ET158+EV158</f>
        <v>0</v>
      </c>
      <c r="ET158" s="106">
        <f>ET159+ET162</f>
        <v>0</v>
      </c>
      <c r="EU158" s="106"/>
      <c r="EV158" s="105">
        <f>EV159</f>
        <v>0</v>
      </c>
      <c r="EW158" s="105">
        <f>EW159+EW162+EW163</f>
        <v>22596.148000000001</v>
      </c>
      <c r="EX158" s="105">
        <f>EX159+EX162</f>
        <v>0</v>
      </c>
      <c r="EY158" s="105">
        <f>EY159+EY162+EY163</f>
        <v>22596.148000000001</v>
      </c>
      <c r="EZ158" s="105"/>
      <c r="FA158" s="105"/>
      <c r="FB158" s="105"/>
      <c r="FC158" s="103">
        <f t="shared" si="320"/>
        <v>32246.799999999999</v>
      </c>
      <c r="FD158" s="103"/>
      <c r="FE158" s="103"/>
      <c r="FF158" s="103">
        <f>FF159</f>
        <v>32246.799999999999</v>
      </c>
      <c r="FG158" s="103">
        <f>FH158+FJ158</f>
        <v>0</v>
      </c>
      <c r="FH158" s="103">
        <f>FH159+FH162</f>
        <v>0</v>
      </c>
      <c r="FI158" s="103"/>
      <c r="FJ158" s="103">
        <f>FJ159+FJ162</f>
        <v>0</v>
      </c>
      <c r="FK158" s="103">
        <f>FL158+FN158</f>
        <v>0</v>
      </c>
      <c r="FL158" s="103">
        <f>FL159+FL162</f>
        <v>0</v>
      </c>
      <c r="FM158" s="103"/>
      <c r="FN158" s="103">
        <f>FN159</f>
        <v>0</v>
      </c>
      <c r="FO158" s="103">
        <f>FO159+FO160+FO161</f>
        <v>32246.799999999999</v>
      </c>
      <c r="FP158" s="103"/>
      <c r="FQ158" s="103"/>
      <c r="FR158" s="103">
        <f>FR159+FR160+FR161</f>
        <v>32246.799999999999</v>
      </c>
      <c r="FS158" s="629">
        <f t="shared" si="338"/>
        <v>20923.518629999999</v>
      </c>
      <c r="FT158" s="595">
        <f t="shared" si="241"/>
        <v>0.64885565792574762</v>
      </c>
      <c r="FU158" s="629">
        <v>0</v>
      </c>
      <c r="FV158" s="595">
        <v>0</v>
      </c>
      <c r="FW158" s="522">
        <f t="shared" si="333"/>
        <v>0</v>
      </c>
      <c r="FX158" s="666">
        <v>0</v>
      </c>
      <c r="FY158" s="629">
        <f>FY159</f>
        <v>20923.518629999999</v>
      </c>
      <c r="FZ158" s="595">
        <f t="shared" si="322"/>
        <v>0.64885565792574762</v>
      </c>
      <c r="GA158" s="629">
        <f t="shared" si="247"/>
        <v>20923.518629999999</v>
      </c>
      <c r="GB158" s="595">
        <f t="shared" si="248"/>
        <v>0.64885565792574762</v>
      </c>
      <c r="GC158" s="629"/>
      <c r="GD158" s="595"/>
      <c r="GE158" s="522"/>
      <c r="GF158" s="514"/>
      <c r="GG158" s="522">
        <f>GG159</f>
        <v>20923.518629999999</v>
      </c>
      <c r="GH158" s="595">
        <f t="shared" si="323"/>
        <v>0.64885565792574762</v>
      </c>
      <c r="GI158" s="629">
        <f t="shared" si="243"/>
        <v>32246.799999999999</v>
      </c>
      <c r="GJ158" s="595">
        <f t="shared" si="244"/>
        <v>1</v>
      </c>
      <c r="GK158" s="629">
        <f t="shared" si="337"/>
        <v>0</v>
      </c>
      <c r="GL158" s="595">
        <v>0</v>
      </c>
      <c r="GM158" s="629">
        <f t="shared" si="334"/>
        <v>0</v>
      </c>
      <c r="GN158" s="595">
        <v>0</v>
      </c>
      <c r="GO158" s="629">
        <f>GO159</f>
        <v>32246.799999999999</v>
      </c>
      <c r="GP158" s="595">
        <f t="shared" si="294"/>
        <v>1</v>
      </c>
      <c r="GQ158" s="105"/>
      <c r="GR158" s="105"/>
      <c r="GS158" s="105"/>
      <c r="GT158" s="105"/>
      <c r="GU158" s="105">
        <f t="shared" si="324"/>
        <v>0</v>
      </c>
      <c r="GV158" s="105"/>
      <c r="GW158" s="105"/>
      <c r="GX158" s="105">
        <f>GX159</f>
        <v>0</v>
      </c>
      <c r="GY158" s="105"/>
      <c r="GZ158" s="105"/>
      <c r="HA158" s="105"/>
      <c r="HB158" s="105"/>
      <c r="HC158" s="105"/>
      <c r="HD158" s="105"/>
      <c r="HE158" s="105"/>
      <c r="HF158" s="105"/>
      <c r="HG158" s="105">
        <f>HH158+HJ158</f>
        <v>0</v>
      </c>
      <c r="HH158" s="105"/>
      <c r="HI158" s="105"/>
      <c r="HJ158" s="105">
        <f>HJ162+HJ163</f>
        <v>0</v>
      </c>
      <c r="HK158" s="105">
        <f t="shared" si="342"/>
        <v>0</v>
      </c>
      <c r="HL158" s="105"/>
      <c r="HM158" s="105"/>
      <c r="HN158" s="105">
        <f>HN162+HN163</f>
        <v>0</v>
      </c>
      <c r="HO158" s="105">
        <f t="shared" si="343"/>
        <v>0</v>
      </c>
      <c r="HP158" s="105"/>
      <c r="HQ158" s="105"/>
      <c r="HR158" s="105">
        <f>HR159</f>
        <v>0</v>
      </c>
      <c r="HS158" s="105">
        <f t="shared" si="344"/>
        <v>0</v>
      </c>
      <c r="HT158" s="105"/>
      <c r="HU158" s="105"/>
      <c r="HV158" s="105">
        <f>HV159</f>
        <v>0</v>
      </c>
      <c r="HW158" s="105">
        <f t="shared" si="345"/>
        <v>0</v>
      </c>
      <c r="HX158" s="105"/>
      <c r="HY158" s="105"/>
      <c r="HZ158" s="105">
        <f>HZ162+HZ163</f>
        <v>0</v>
      </c>
      <c r="IA158" s="105">
        <f t="shared" si="346"/>
        <v>0</v>
      </c>
      <c r="IB158" s="105"/>
      <c r="IC158" s="105"/>
      <c r="ID158" s="105">
        <f>ID159</f>
        <v>0</v>
      </c>
      <c r="IE158" s="228"/>
      <c r="IF158" s="141"/>
      <c r="IG158" s="141"/>
      <c r="IH158" s="141"/>
    </row>
    <row r="159" spans="2:242" s="225" customFormat="1" ht="78" customHeight="1" x14ac:dyDescent="0.2">
      <c r="B159" s="186" t="s">
        <v>134</v>
      </c>
      <c r="C159" s="226" t="s">
        <v>257</v>
      </c>
      <c r="D159" s="222"/>
      <c r="E159" s="143"/>
      <c r="F159" s="143"/>
      <c r="G159" s="143"/>
      <c r="H159" s="143"/>
      <c r="I159" s="143"/>
      <c r="J159" s="143"/>
      <c r="K159" s="143"/>
      <c r="L159" s="143"/>
      <c r="M159" s="143"/>
      <c r="N159" s="143"/>
      <c r="O159" s="143"/>
      <c r="P159" s="143"/>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68"/>
      <c r="AL159" s="168"/>
      <c r="AM159" s="223"/>
      <c r="AN159" s="223"/>
      <c r="AO159" s="166"/>
      <c r="AP159" s="144"/>
      <c r="AQ159" s="144"/>
      <c r="AR159" s="168"/>
      <c r="AS159" s="144"/>
      <c r="AT159" s="144"/>
      <c r="AU159" s="144"/>
      <c r="AV159" s="144"/>
      <c r="AW159" s="144"/>
      <c r="AX159" s="144"/>
      <c r="AY159" s="144"/>
      <c r="AZ159" s="144"/>
      <c r="BA159" s="144"/>
      <c r="BB159" s="144"/>
      <c r="BC159" s="144"/>
      <c r="BD159" s="144"/>
      <c r="BE159" s="144"/>
      <c r="BF159" s="144"/>
      <c r="BG159" s="144"/>
      <c r="BH159" s="144"/>
      <c r="BI159" s="144"/>
      <c r="BJ159" s="144"/>
      <c r="BK159" s="167"/>
      <c r="BL159" s="168"/>
      <c r="BM159" s="168"/>
      <c r="BN159" s="168"/>
      <c r="BO159" s="168"/>
      <c r="BP159" s="168"/>
      <c r="BQ159" s="168"/>
      <c r="BR159" s="168"/>
      <c r="BS159" s="168"/>
      <c r="BT159" s="168"/>
      <c r="BU159" s="168"/>
      <c r="BV159" s="144"/>
      <c r="BW159" s="144"/>
      <c r="BX159" s="144"/>
      <c r="BY159" s="144"/>
      <c r="BZ159" s="144"/>
      <c r="CA159" s="144"/>
      <c r="CB159" s="144"/>
      <c r="CC159" s="144"/>
      <c r="CD159" s="144"/>
      <c r="CE159" s="168"/>
      <c r="CF159" s="168"/>
      <c r="CG159" s="144"/>
      <c r="CH159" s="144"/>
      <c r="CI159" s="144"/>
      <c r="CJ159" s="144"/>
      <c r="CK159" s="144"/>
      <c r="CL159" s="144"/>
      <c r="CM159" s="144"/>
      <c r="CN159" s="144"/>
      <c r="CO159" s="144"/>
      <c r="CP159" s="144"/>
      <c r="CQ159" s="144"/>
      <c r="CR159" s="144"/>
      <c r="CS159" s="144"/>
      <c r="CT159" s="144"/>
      <c r="CU159" s="144"/>
      <c r="CV159" s="144"/>
      <c r="CW159" s="144"/>
      <c r="CX159" s="144"/>
      <c r="CY159" s="227"/>
      <c r="CZ159" s="144"/>
      <c r="DA159" s="144"/>
      <c r="DB159" s="144"/>
      <c r="DC159" s="144"/>
      <c r="DD159" s="144"/>
      <c r="DE159" s="144"/>
      <c r="DF159" s="144"/>
      <c r="DG159" s="144"/>
      <c r="DH159" s="144"/>
      <c r="DI159" s="144"/>
      <c r="DJ159" s="144"/>
      <c r="DK159" s="144"/>
      <c r="DL159" s="144"/>
      <c r="DM159" s="144"/>
      <c r="DN159" s="144"/>
      <c r="DO159" s="144"/>
      <c r="DP159" s="144"/>
      <c r="DQ159" s="144"/>
      <c r="DR159" s="144"/>
      <c r="DS159" s="144"/>
      <c r="DT159" s="144"/>
      <c r="DU159" s="144"/>
      <c r="DV159" s="144"/>
      <c r="DW159" s="144"/>
      <c r="DX159" s="144"/>
      <c r="DY159" s="144"/>
      <c r="DZ159" s="144"/>
      <c r="EA159" s="144"/>
      <c r="EB159" s="144"/>
      <c r="EC159" s="144"/>
      <c r="ED159" s="144"/>
      <c r="EE159" s="144"/>
      <c r="EF159" s="144"/>
      <c r="EG159" s="144">
        <f t="shared" si="318"/>
        <v>32246.799999999999</v>
      </c>
      <c r="EH159" s="144"/>
      <c r="EI159" s="144"/>
      <c r="EJ159" s="144">
        <v>32246.799999999999</v>
      </c>
      <c r="EK159" s="144">
        <v>0</v>
      </c>
      <c r="EL159" s="144">
        <v>0</v>
      </c>
      <c r="EM159" s="144">
        <v>0</v>
      </c>
      <c r="EN159" s="144">
        <v>0</v>
      </c>
      <c r="EO159" s="144">
        <f>EP159+EQ159+ER159</f>
        <v>-32246.799999999999</v>
      </c>
      <c r="EP159" s="144">
        <v>0</v>
      </c>
      <c r="EQ159" s="144">
        <v>0</v>
      </c>
      <c r="ER159" s="144">
        <f>EV159-EJ159</f>
        <v>-32246.799999999999</v>
      </c>
      <c r="ES159" s="164">
        <f>ET159+EU159+EV159</f>
        <v>0</v>
      </c>
      <c r="ET159" s="164"/>
      <c r="EU159" s="164"/>
      <c r="EV159" s="144"/>
      <c r="EW159" s="144"/>
      <c r="EX159" s="144"/>
      <c r="EY159" s="144"/>
      <c r="EZ159" s="144"/>
      <c r="FA159" s="144"/>
      <c r="FB159" s="144"/>
      <c r="FC159" s="143">
        <f t="shared" si="320"/>
        <v>32246.799999999999</v>
      </c>
      <c r="FD159" s="143"/>
      <c r="FE159" s="143"/>
      <c r="FF159" s="143">
        <f>'[2]2021_2023свод_оконч'!$FF$150</f>
        <v>32246.799999999999</v>
      </c>
      <c r="FG159" s="143"/>
      <c r="FH159" s="143"/>
      <c r="FI159" s="143"/>
      <c r="FJ159" s="143"/>
      <c r="FK159" s="143">
        <f>FN159</f>
        <v>0</v>
      </c>
      <c r="FL159" s="143"/>
      <c r="FM159" s="143"/>
      <c r="FN159" s="143">
        <f>FR159-FF159</f>
        <v>0</v>
      </c>
      <c r="FO159" s="143">
        <f t="shared" si="321"/>
        <v>32246.799999999999</v>
      </c>
      <c r="FP159" s="143"/>
      <c r="FQ159" s="143"/>
      <c r="FR159" s="143">
        <f>EJ159</f>
        <v>32246.799999999999</v>
      </c>
      <c r="FS159" s="90">
        <f t="shared" si="338"/>
        <v>20923.518629999999</v>
      </c>
      <c r="FT159" s="518">
        <f t="shared" si="241"/>
        <v>0.64885565792574762</v>
      </c>
      <c r="FU159" s="90">
        <v>0</v>
      </c>
      <c r="FV159" s="518">
        <v>0</v>
      </c>
      <c r="FW159" s="87">
        <f t="shared" si="333"/>
        <v>0</v>
      </c>
      <c r="FX159" s="665">
        <v>0</v>
      </c>
      <c r="FY159" s="90">
        <f>GG159</f>
        <v>20923.518629999999</v>
      </c>
      <c r="FZ159" s="518">
        <f t="shared" si="322"/>
        <v>0.64885565792574762</v>
      </c>
      <c r="GA159" s="90">
        <f t="shared" si="247"/>
        <v>20923.518629999999</v>
      </c>
      <c r="GB159" s="518">
        <f t="shared" si="248"/>
        <v>0.64885565792574762</v>
      </c>
      <c r="GC159" s="90"/>
      <c r="GD159" s="518"/>
      <c r="GE159" s="87"/>
      <c r="GF159" s="515"/>
      <c r="GG159" s="87">
        <v>20923.518629999999</v>
      </c>
      <c r="GH159" s="518">
        <f t="shared" si="323"/>
        <v>0.64885565792574762</v>
      </c>
      <c r="GI159" s="90">
        <f t="shared" si="243"/>
        <v>32246.799999999999</v>
      </c>
      <c r="GJ159" s="518">
        <f t="shared" si="244"/>
        <v>1</v>
      </c>
      <c r="GK159" s="90">
        <f t="shared" si="337"/>
        <v>0</v>
      </c>
      <c r="GL159" s="518">
        <v>0</v>
      </c>
      <c r="GM159" s="90">
        <f t="shared" si="334"/>
        <v>0</v>
      </c>
      <c r="GN159" s="518">
        <v>0</v>
      </c>
      <c r="GO159" s="90">
        <f>FF159</f>
        <v>32246.799999999999</v>
      </c>
      <c r="GP159" s="518">
        <f t="shared" si="294"/>
        <v>1</v>
      </c>
      <c r="GQ159" s="143"/>
      <c r="GR159" s="143"/>
      <c r="GS159" s="143"/>
      <c r="GT159" s="143"/>
      <c r="GU159" s="144">
        <f>GX1461</f>
        <v>0</v>
      </c>
      <c r="GV159" s="144"/>
      <c r="GW159" s="144"/>
      <c r="GX159" s="144">
        <v>0</v>
      </c>
      <c r="GY159" s="144"/>
      <c r="GZ159" s="144"/>
      <c r="HA159" s="144"/>
      <c r="HB159" s="144"/>
      <c r="HC159" s="144"/>
      <c r="HD159" s="144"/>
      <c r="HE159" s="144"/>
      <c r="HF159" s="144"/>
      <c r="HG159" s="144"/>
      <c r="HH159" s="144"/>
      <c r="HI159" s="144"/>
      <c r="HJ159" s="144"/>
      <c r="HK159" s="144">
        <f t="shared" si="342"/>
        <v>0</v>
      </c>
      <c r="HL159" s="144"/>
      <c r="HM159" s="144"/>
      <c r="HN159" s="144"/>
      <c r="HO159" s="144">
        <f t="shared" si="343"/>
        <v>0</v>
      </c>
      <c r="HP159" s="144"/>
      <c r="HQ159" s="144"/>
      <c r="HR159" s="144">
        <v>0</v>
      </c>
      <c r="HS159" s="144">
        <f t="shared" si="344"/>
        <v>0</v>
      </c>
      <c r="HT159" s="144"/>
      <c r="HU159" s="144"/>
      <c r="HV159" s="144">
        <v>0</v>
      </c>
      <c r="HW159" s="144">
        <f t="shared" si="345"/>
        <v>0</v>
      </c>
      <c r="HX159" s="144"/>
      <c r="HY159" s="144"/>
      <c r="HZ159" s="144"/>
      <c r="IA159" s="144">
        <f t="shared" si="346"/>
        <v>0</v>
      </c>
      <c r="IB159" s="144"/>
      <c r="IC159" s="144"/>
      <c r="ID159" s="144">
        <v>0</v>
      </c>
      <c r="IE159" s="548" t="s">
        <v>258</v>
      </c>
      <c r="IF159" s="145"/>
      <c r="IG159" s="145"/>
      <c r="IH159" s="145"/>
    </row>
    <row r="160" spans="2:242" s="202" customFormat="1" ht="111.75" hidden="1" customHeight="1" x14ac:dyDescent="0.25">
      <c r="B160" s="100" t="s">
        <v>221</v>
      </c>
      <c r="C160" s="559" t="s">
        <v>259</v>
      </c>
      <c r="D160" s="102"/>
      <c r="E160" s="103"/>
      <c r="F160" s="103"/>
      <c r="G160" s="103"/>
      <c r="H160" s="103"/>
      <c r="I160" s="103"/>
      <c r="J160" s="103"/>
      <c r="K160" s="103"/>
      <c r="L160" s="103"/>
      <c r="M160" s="103"/>
      <c r="N160" s="103"/>
      <c r="O160" s="103"/>
      <c r="P160" s="103"/>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6"/>
      <c r="AL160" s="106"/>
      <c r="AM160" s="111"/>
      <c r="AN160" s="111"/>
      <c r="AO160" s="109"/>
      <c r="AP160" s="105"/>
      <c r="AQ160" s="105"/>
      <c r="AR160" s="106"/>
      <c r="AS160" s="105"/>
      <c r="AT160" s="105"/>
      <c r="AU160" s="105"/>
      <c r="AV160" s="105"/>
      <c r="AW160" s="105"/>
      <c r="AX160" s="105"/>
      <c r="AY160" s="105"/>
      <c r="AZ160" s="105"/>
      <c r="BA160" s="105"/>
      <c r="BB160" s="105"/>
      <c r="BC160" s="105"/>
      <c r="BD160" s="105"/>
      <c r="BE160" s="105"/>
      <c r="BF160" s="105"/>
      <c r="BG160" s="105"/>
      <c r="BH160" s="105"/>
      <c r="BI160" s="105"/>
      <c r="BJ160" s="105"/>
      <c r="BK160" s="110"/>
      <c r="BL160" s="106"/>
      <c r="BM160" s="106"/>
      <c r="BN160" s="106"/>
      <c r="BO160" s="106"/>
      <c r="BP160" s="106"/>
      <c r="BQ160" s="106"/>
      <c r="BR160" s="106"/>
      <c r="BS160" s="106"/>
      <c r="BT160" s="106"/>
      <c r="BU160" s="106"/>
      <c r="BV160" s="105"/>
      <c r="BW160" s="105"/>
      <c r="BX160" s="105"/>
      <c r="BY160" s="105"/>
      <c r="BZ160" s="105"/>
      <c r="CA160" s="105"/>
      <c r="CB160" s="105"/>
      <c r="CC160" s="105"/>
      <c r="CD160" s="105"/>
      <c r="CE160" s="106"/>
      <c r="CF160" s="106"/>
      <c r="CG160" s="105"/>
      <c r="CH160" s="105"/>
      <c r="CI160" s="105"/>
      <c r="CJ160" s="105"/>
      <c r="CK160" s="105"/>
      <c r="CL160" s="105"/>
      <c r="CM160" s="105"/>
      <c r="CN160" s="105"/>
      <c r="CO160" s="105"/>
      <c r="CP160" s="105"/>
      <c r="CQ160" s="105"/>
      <c r="CR160" s="105"/>
      <c r="CS160" s="105"/>
      <c r="CT160" s="105"/>
      <c r="CU160" s="105"/>
      <c r="CV160" s="105"/>
      <c r="CW160" s="105"/>
      <c r="CX160" s="105"/>
      <c r="CY160" s="561"/>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f t="shared" si="318"/>
        <v>0</v>
      </c>
      <c r="EH160" s="105"/>
      <c r="EI160" s="105"/>
      <c r="EJ160" s="105">
        <v>0</v>
      </c>
      <c r="EK160" s="105"/>
      <c r="EL160" s="105"/>
      <c r="EM160" s="105"/>
      <c r="EN160" s="105"/>
      <c r="EO160" s="105"/>
      <c r="EP160" s="105"/>
      <c r="EQ160" s="105"/>
      <c r="ER160" s="105">
        <f>EV160-EJ160</f>
        <v>0</v>
      </c>
      <c r="ES160" s="181"/>
      <c r="ET160" s="181"/>
      <c r="EU160" s="181"/>
      <c r="EV160" s="105"/>
      <c r="EW160" s="105"/>
      <c r="EX160" s="105"/>
      <c r="EY160" s="105"/>
      <c r="EZ160" s="105"/>
      <c r="FA160" s="105"/>
      <c r="FB160" s="105"/>
      <c r="FC160" s="103"/>
      <c r="FD160" s="103"/>
      <c r="FE160" s="103"/>
      <c r="FF160" s="103"/>
      <c r="FG160" s="103"/>
      <c r="FH160" s="103"/>
      <c r="FI160" s="103"/>
      <c r="FJ160" s="103"/>
      <c r="FK160" s="103"/>
      <c r="FL160" s="103"/>
      <c r="FM160" s="103"/>
      <c r="FN160" s="103"/>
      <c r="FO160" s="103">
        <f t="shared" si="321"/>
        <v>0</v>
      </c>
      <c r="FP160" s="103"/>
      <c r="FQ160" s="103"/>
      <c r="FR160" s="103">
        <f>EJ160</f>
        <v>0</v>
      </c>
      <c r="FS160" s="629">
        <f t="shared" si="338"/>
        <v>0</v>
      </c>
      <c r="FT160" s="595" t="e">
        <f t="shared" si="241"/>
        <v>#DIV/0!</v>
      </c>
      <c r="FU160" s="629">
        <v>0</v>
      </c>
      <c r="FV160" s="595" t="e">
        <f t="shared" si="242"/>
        <v>#DIV/0!</v>
      </c>
      <c r="FW160" s="522">
        <f t="shared" si="333"/>
        <v>0</v>
      </c>
      <c r="FX160" s="666" t="e">
        <f>FW160/FE160</f>
        <v>#DIV/0!</v>
      </c>
      <c r="FY160" s="629">
        <f t="shared" si="335"/>
        <v>0</v>
      </c>
      <c r="FZ160" s="666" t="e">
        <f t="shared" si="322"/>
        <v>#DIV/0!</v>
      </c>
      <c r="GA160" s="629">
        <f t="shared" si="247"/>
        <v>0</v>
      </c>
      <c r="GB160" s="595" t="e">
        <f t="shared" si="248"/>
        <v>#DIV/0!</v>
      </c>
      <c r="GC160" s="629"/>
      <c r="GD160" s="595"/>
      <c r="GE160" s="522"/>
      <c r="GF160" s="514"/>
      <c r="GG160" s="522">
        <f t="shared" si="336"/>
        <v>0</v>
      </c>
      <c r="GH160" s="514" t="e">
        <f t="shared" si="323"/>
        <v>#DIV/0!</v>
      </c>
      <c r="GI160" s="629">
        <f t="shared" si="243"/>
        <v>0</v>
      </c>
      <c r="GJ160" s="595" t="e">
        <f t="shared" si="244"/>
        <v>#DIV/0!</v>
      </c>
      <c r="GK160" s="629">
        <f t="shared" si="337"/>
        <v>0</v>
      </c>
      <c r="GL160" s="595" t="e">
        <f t="shared" si="245"/>
        <v>#DIV/0!</v>
      </c>
      <c r="GM160" s="629">
        <f t="shared" si="334"/>
        <v>0</v>
      </c>
      <c r="GN160" s="595" t="e">
        <f>GM160/FE160</f>
        <v>#DIV/0!</v>
      </c>
      <c r="GO160" s="629">
        <f>GO408+GO457</f>
        <v>0</v>
      </c>
      <c r="GP160" s="595" t="e">
        <f t="shared" si="294"/>
        <v>#DIV/0!</v>
      </c>
      <c r="GQ160" s="105"/>
      <c r="GR160" s="105"/>
      <c r="GS160" s="105"/>
      <c r="GT160" s="105"/>
      <c r="GU160" s="105">
        <f>GX1462</f>
        <v>0</v>
      </c>
      <c r="GV160" s="105"/>
      <c r="GW160" s="105"/>
      <c r="GX160" s="105">
        <v>0</v>
      </c>
      <c r="GY160" s="105"/>
      <c r="GZ160" s="105"/>
      <c r="HA160" s="105"/>
      <c r="HB160" s="105"/>
      <c r="HC160" s="105"/>
      <c r="HD160" s="105"/>
      <c r="HE160" s="105"/>
      <c r="HF160" s="105"/>
      <c r="HG160" s="105"/>
      <c r="HH160" s="105"/>
      <c r="HI160" s="105"/>
      <c r="HJ160" s="105"/>
      <c r="HK160" s="105">
        <f t="shared" si="342"/>
        <v>0</v>
      </c>
      <c r="HL160" s="105"/>
      <c r="HM160" s="105"/>
      <c r="HN160" s="105"/>
      <c r="HO160" s="105"/>
      <c r="HP160" s="105"/>
      <c r="HQ160" s="105"/>
      <c r="HR160" s="105"/>
      <c r="HS160" s="105"/>
      <c r="HT160" s="105"/>
      <c r="HU160" s="105"/>
      <c r="HV160" s="105"/>
      <c r="HW160" s="105"/>
      <c r="HX160" s="105"/>
      <c r="HY160" s="105"/>
      <c r="HZ160" s="105"/>
      <c r="IA160" s="105"/>
      <c r="IB160" s="105"/>
      <c r="IC160" s="105"/>
      <c r="ID160" s="105"/>
      <c r="IE160" s="751" t="s">
        <v>260</v>
      </c>
      <c r="IF160" s="141"/>
      <c r="IG160" s="141"/>
      <c r="IH160" s="141"/>
    </row>
    <row r="161" spans="2:242" s="202" customFormat="1" ht="111.75" hidden="1" customHeight="1" x14ac:dyDescent="0.25">
      <c r="B161" s="100" t="s">
        <v>78</v>
      </c>
      <c r="C161" s="559" t="s">
        <v>261</v>
      </c>
      <c r="D161" s="102"/>
      <c r="E161" s="103"/>
      <c r="F161" s="103"/>
      <c r="G161" s="103"/>
      <c r="H161" s="103"/>
      <c r="I161" s="103"/>
      <c r="J161" s="103"/>
      <c r="K161" s="103"/>
      <c r="L161" s="103"/>
      <c r="M161" s="103"/>
      <c r="N161" s="103"/>
      <c r="O161" s="103"/>
      <c r="P161" s="103"/>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6"/>
      <c r="AL161" s="106"/>
      <c r="AM161" s="111"/>
      <c r="AN161" s="111"/>
      <c r="AO161" s="109"/>
      <c r="AP161" s="105"/>
      <c r="AQ161" s="105"/>
      <c r="AR161" s="106"/>
      <c r="AS161" s="105"/>
      <c r="AT161" s="105"/>
      <c r="AU161" s="105"/>
      <c r="AV161" s="105"/>
      <c r="AW161" s="105"/>
      <c r="AX161" s="105"/>
      <c r="AY161" s="105"/>
      <c r="AZ161" s="105"/>
      <c r="BA161" s="105"/>
      <c r="BB161" s="105"/>
      <c r="BC161" s="105"/>
      <c r="BD161" s="105"/>
      <c r="BE161" s="105"/>
      <c r="BF161" s="105"/>
      <c r="BG161" s="105"/>
      <c r="BH161" s="105"/>
      <c r="BI161" s="105"/>
      <c r="BJ161" s="105"/>
      <c r="BK161" s="110"/>
      <c r="BL161" s="106"/>
      <c r="BM161" s="106"/>
      <c r="BN161" s="106"/>
      <c r="BO161" s="106"/>
      <c r="BP161" s="106"/>
      <c r="BQ161" s="106"/>
      <c r="BR161" s="106"/>
      <c r="BS161" s="106"/>
      <c r="BT161" s="106"/>
      <c r="BU161" s="106"/>
      <c r="BV161" s="105"/>
      <c r="BW161" s="105"/>
      <c r="BX161" s="105"/>
      <c r="BY161" s="105"/>
      <c r="BZ161" s="105"/>
      <c r="CA161" s="105"/>
      <c r="CB161" s="105"/>
      <c r="CC161" s="105"/>
      <c r="CD161" s="105"/>
      <c r="CE161" s="106"/>
      <c r="CF161" s="106"/>
      <c r="CG161" s="105"/>
      <c r="CH161" s="105"/>
      <c r="CI161" s="105"/>
      <c r="CJ161" s="105"/>
      <c r="CK161" s="105"/>
      <c r="CL161" s="105"/>
      <c r="CM161" s="105"/>
      <c r="CN161" s="105"/>
      <c r="CO161" s="105"/>
      <c r="CP161" s="105"/>
      <c r="CQ161" s="105"/>
      <c r="CR161" s="105"/>
      <c r="CS161" s="105"/>
      <c r="CT161" s="105"/>
      <c r="CU161" s="105"/>
      <c r="CV161" s="105"/>
      <c r="CW161" s="105"/>
      <c r="CX161" s="105"/>
      <c r="CY161" s="561"/>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f t="shared" si="318"/>
        <v>0</v>
      </c>
      <c r="EH161" s="105"/>
      <c r="EI161" s="105"/>
      <c r="EJ161" s="105">
        <v>0</v>
      </c>
      <c r="EK161" s="105"/>
      <c r="EL161" s="105"/>
      <c r="EM161" s="105"/>
      <c r="EN161" s="105"/>
      <c r="EO161" s="105"/>
      <c r="EP161" s="105"/>
      <c r="EQ161" s="105"/>
      <c r="ER161" s="105">
        <f>EV161-EJ161</f>
        <v>0</v>
      </c>
      <c r="ES161" s="181"/>
      <c r="ET161" s="181"/>
      <c r="EU161" s="181"/>
      <c r="EV161" s="105"/>
      <c r="EW161" s="105"/>
      <c r="EX161" s="105"/>
      <c r="EY161" s="105"/>
      <c r="EZ161" s="105"/>
      <c r="FA161" s="105"/>
      <c r="FB161" s="105"/>
      <c r="FC161" s="103"/>
      <c r="FD161" s="103"/>
      <c r="FE161" s="103"/>
      <c r="FF161" s="103"/>
      <c r="FG161" s="103"/>
      <c r="FH161" s="103"/>
      <c r="FI161" s="103"/>
      <c r="FJ161" s="103"/>
      <c r="FK161" s="103"/>
      <c r="FL161" s="103"/>
      <c r="FM161" s="103"/>
      <c r="FN161" s="103"/>
      <c r="FO161" s="103">
        <f t="shared" si="321"/>
        <v>0</v>
      </c>
      <c r="FP161" s="103"/>
      <c r="FQ161" s="103"/>
      <c r="FR161" s="103">
        <f>EJ161</f>
        <v>0</v>
      </c>
      <c r="FS161" s="629">
        <f t="shared" si="338"/>
        <v>0</v>
      </c>
      <c r="FT161" s="595" t="e">
        <f t="shared" si="241"/>
        <v>#DIV/0!</v>
      </c>
      <c r="FU161" s="629">
        <v>0</v>
      </c>
      <c r="FV161" s="595" t="e">
        <f t="shared" si="242"/>
        <v>#DIV/0!</v>
      </c>
      <c r="FW161" s="522">
        <f t="shared" si="333"/>
        <v>0</v>
      </c>
      <c r="FX161" s="666" t="e">
        <f>FW161/FE161</f>
        <v>#DIV/0!</v>
      </c>
      <c r="FY161" s="629">
        <f t="shared" si="335"/>
        <v>0</v>
      </c>
      <c r="FZ161" s="666" t="e">
        <f t="shared" si="322"/>
        <v>#DIV/0!</v>
      </c>
      <c r="GA161" s="629">
        <f t="shared" si="247"/>
        <v>0</v>
      </c>
      <c r="GB161" s="595" t="e">
        <f t="shared" si="248"/>
        <v>#DIV/0!</v>
      </c>
      <c r="GC161" s="629"/>
      <c r="GD161" s="595"/>
      <c r="GE161" s="522"/>
      <c r="GF161" s="514"/>
      <c r="GG161" s="522">
        <f t="shared" si="336"/>
        <v>0</v>
      </c>
      <c r="GH161" s="514" t="e">
        <f t="shared" si="323"/>
        <v>#DIV/0!</v>
      </c>
      <c r="GI161" s="629">
        <f t="shared" si="243"/>
        <v>0</v>
      </c>
      <c r="GJ161" s="595" t="e">
        <f t="shared" si="244"/>
        <v>#DIV/0!</v>
      </c>
      <c r="GK161" s="629">
        <f t="shared" si="337"/>
        <v>0</v>
      </c>
      <c r="GL161" s="595" t="e">
        <f t="shared" si="245"/>
        <v>#DIV/0!</v>
      </c>
      <c r="GM161" s="629">
        <f t="shared" si="334"/>
        <v>0</v>
      </c>
      <c r="GN161" s="595" t="e">
        <f>GM161/FE161</f>
        <v>#DIV/0!</v>
      </c>
      <c r="GO161" s="629">
        <f>GO409+GO458</f>
        <v>0</v>
      </c>
      <c r="GP161" s="595" t="e">
        <f t="shared" si="294"/>
        <v>#DIV/0!</v>
      </c>
      <c r="GQ161" s="105"/>
      <c r="GR161" s="105"/>
      <c r="GS161" s="105"/>
      <c r="GT161" s="105"/>
      <c r="GU161" s="105">
        <f>GX1463</f>
        <v>0</v>
      </c>
      <c r="GV161" s="105"/>
      <c r="GW161" s="105"/>
      <c r="GX161" s="105">
        <v>0</v>
      </c>
      <c r="GY161" s="105"/>
      <c r="GZ161" s="105"/>
      <c r="HA161" s="105"/>
      <c r="HB161" s="105"/>
      <c r="HC161" s="105"/>
      <c r="HD161" s="105"/>
      <c r="HE161" s="105"/>
      <c r="HF161" s="105"/>
      <c r="HG161" s="105"/>
      <c r="HH161" s="105"/>
      <c r="HI161" s="105"/>
      <c r="HJ161" s="105"/>
      <c r="HK161" s="105">
        <f t="shared" si="342"/>
        <v>0</v>
      </c>
      <c r="HL161" s="105"/>
      <c r="HM161" s="105"/>
      <c r="HN161" s="105"/>
      <c r="HO161" s="105"/>
      <c r="HP161" s="105"/>
      <c r="HQ161" s="105"/>
      <c r="HR161" s="105"/>
      <c r="HS161" s="105"/>
      <c r="HT161" s="105"/>
      <c r="HU161" s="105"/>
      <c r="HV161" s="105"/>
      <c r="HW161" s="105"/>
      <c r="HX161" s="105"/>
      <c r="HY161" s="105"/>
      <c r="HZ161" s="105"/>
      <c r="IA161" s="105"/>
      <c r="IB161" s="105"/>
      <c r="IC161" s="105"/>
      <c r="ID161" s="105"/>
      <c r="IE161" s="752"/>
      <c r="IF161" s="141"/>
      <c r="IG161" s="141"/>
      <c r="IH161" s="141"/>
    </row>
    <row r="162" spans="2:242" s="202" customFormat="1" ht="33" hidden="1" customHeight="1" x14ac:dyDescent="0.25">
      <c r="B162" s="100" t="s">
        <v>262</v>
      </c>
      <c r="C162" s="559" t="s">
        <v>263</v>
      </c>
      <c r="D162" s="102"/>
      <c r="E162" s="103"/>
      <c r="F162" s="103"/>
      <c r="G162" s="103"/>
      <c r="H162" s="103"/>
      <c r="I162" s="103"/>
      <c r="J162" s="103"/>
      <c r="K162" s="103"/>
      <c r="L162" s="103"/>
      <c r="M162" s="103"/>
      <c r="N162" s="103"/>
      <c r="O162" s="103"/>
      <c r="P162" s="103"/>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6"/>
      <c r="AL162" s="106"/>
      <c r="AM162" s="111"/>
      <c r="AN162" s="111"/>
      <c r="AO162" s="109"/>
      <c r="AP162" s="105"/>
      <c r="AQ162" s="105"/>
      <c r="AR162" s="106"/>
      <c r="AS162" s="105"/>
      <c r="AT162" s="105"/>
      <c r="AU162" s="105"/>
      <c r="AV162" s="105"/>
      <c r="AW162" s="105"/>
      <c r="AX162" s="105"/>
      <c r="AY162" s="105"/>
      <c r="AZ162" s="105"/>
      <c r="BA162" s="105"/>
      <c r="BB162" s="105"/>
      <c r="BC162" s="105"/>
      <c r="BD162" s="105"/>
      <c r="BE162" s="105"/>
      <c r="BF162" s="105"/>
      <c r="BG162" s="105"/>
      <c r="BH162" s="105"/>
      <c r="BI162" s="105"/>
      <c r="BJ162" s="105"/>
      <c r="BK162" s="110"/>
      <c r="BL162" s="106"/>
      <c r="BM162" s="106"/>
      <c r="BN162" s="106"/>
      <c r="BO162" s="106"/>
      <c r="BP162" s="106"/>
      <c r="BQ162" s="106"/>
      <c r="BR162" s="106"/>
      <c r="BS162" s="106"/>
      <c r="BT162" s="106"/>
      <c r="BU162" s="106"/>
      <c r="BV162" s="105"/>
      <c r="BW162" s="105"/>
      <c r="BX162" s="105"/>
      <c r="BY162" s="105"/>
      <c r="BZ162" s="105"/>
      <c r="CA162" s="105"/>
      <c r="CB162" s="105">
        <f t="shared" si="305"/>
        <v>0</v>
      </c>
      <c r="CC162" s="105">
        <f t="shared" ref="CC162:CV162" si="348">CC163+CC164</f>
        <v>0</v>
      </c>
      <c r="CD162" s="105">
        <f t="shared" si="348"/>
        <v>0</v>
      </c>
      <c r="CE162" s="105">
        <f t="shared" si="348"/>
        <v>0</v>
      </c>
      <c r="CF162" s="105">
        <f t="shared" si="348"/>
        <v>0</v>
      </c>
      <c r="CG162" s="105">
        <f t="shared" si="348"/>
        <v>0</v>
      </c>
      <c r="CH162" s="105">
        <f t="shared" si="348"/>
        <v>0</v>
      </c>
      <c r="CI162" s="105">
        <f t="shared" si="348"/>
        <v>0</v>
      </c>
      <c r="CJ162" s="105">
        <f t="shared" si="348"/>
        <v>0</v>
      </c>
      <c r="CK162" s="105">
        <f t="shared" si="348"/>
        <v>0</v>
      </c>
      <c r="CL162" s="105">
        <f t="shared" si="348"/>
        <v>0</v>
      </c>
      <c r="CM162" s="105">
        <f t="shared" si="348"/>
        <v>0</v>
      </c>
      <c r="CN162" s="105">
        <f t="shared" si="348"/>
        <v>0</v>
      </c>
      <c r="CO162" s="105">
        <f t="shared" si="348"/>
        <v>0</v>
      </c>
      <c r="CP162" s="105">
        <f t="shared" si="348"/>
        <v>0</v>
      </c>
      <c r="CQ162" s="105">
        <f t="shared" si="348"/>
        <v>0</v>
      </c>
      <c r="CR162" s="105">
        <f t="shared" si="348"/>
        <v>0</v>
      </c>
      <c r="CS162" s="105">
        <f t="shared" si="348"/>
        <v>0</v>
      </c>
      <c r="CT162" s="105">
        <f t="shared" si="348"/>
        <v>0</v>
      </c>
      <c r="CU162" s="105">
        <f t="shared" si="348"/>
        <v>0</v>
      </c>
      <c r="CV162" s="105">
        <f t="shared" si="348"/>
        <v>0</v>
      </c>
      <c r="CW162" s="105">
        <f t="shared" si="306"/>
        <v>8730.5</v>
      </c>
      <c r="CX162" s="105">
        <f>CX163+CX164</f>
        <v>0</v>
      </c>
      <c r="CY162" s="105">
        <f>CY163+CY164</f>
        <v>8730.5</v>
      </c>
      <c r="CZ162" s="105">
        <f t="shared" si="307"/>
        <v>0</v>
      </c>
      <c r="DA162" s="105">
        <f>DA163+DA164</f>
        <v>0</v>
      </c>
      <c r="DB162" s="105">
        <f>DB163+DB164</f>
        <v>0</v>
      </c>
      <c r="DC162" s="105"/>
      <c r="DD162" s="105"/>
      <c r="DE162" s="105"/>
      <c r="DF162" s="105">
        <f t="shared" si="308"/>
        <v>0</v>
      </c>
      <c r="DG162" s="105">
        <f>DG163+DG164</f>
        <v>0</v>
      </c>
      <c r="DH162" s="105">
        <f>DH163+DH164</f>
        <v>0</v>
      </c>
      <c r="DI162" s="105">
        <f t="shared" si="283"/>
        <v>8730.5</v>
      </c>
      <c r="DJ162" s="105">
        <f>DJ163+DJ164</f>
        <v>0</v>
      </c>
      <c r="DK162" s="105">
        <f>DK163+DK164</f>
        <v>8730.5</v>
      </c>
      <c r="DL162" s="105">
        <f t="shared" si="309"/>
        <v>0</v>
      </c>
      <c r="DM162" s="105">
        <f>DM163+DM164</f>
        <v>0</v>
      </c>
      <c r="DN162" s="105">
        <f>DN163+DN164</f>
        <v>0</v>
      </c>
      <c r="DO162" s="105">
        <f t="shared" si="310"/>
        <v>0</v>
      </c>
      <c r="DP162" s="105">
        <f>DP163+DP164</f>
        <v>0</v>
      </c>
      <c r="DQ162" s="105">
        <f>DQ163+DQ164</f>
        <v>0</v>
      </c>
      <c r="DR162" s="105">
        <f t="shared" si="311"/>
        <v>8730.5</v>
      </c>
      <c r="DS162" s="105">
        <f>DS163+DS164</f>
        <v>0</v>
      </c>
      <c r="DT162" s="105">
        <f>DT163+DT164</f>
        <v>8730.5</v>
      </c>
      <c r="DU162" s="105">
        <f t="shared" si="312"/>
        <v>0</v>
      </c>
      <c r="DV162" s="105">
        <f>DV163+DV164</f>
        <v>0</v>
      </c>
      <c r="DW162" s="105">
        <f>DW163+DW164</f>
        <v>0</v>
      </c>
      <c r="DX162" s="105">
        <f t="shared" si="313"/>
        <v>22596.148000000001</v>
      </c>
      <c r="DY162" s="105">
        <f>DY163+DY164</f>
        <v>0</v>
      </c>
      <c r="DZ162" s="105">
        <f>DZ163+DZ164</f>
        <v>22596.148000000001</v>
      </c>
      <c r="EA162" s="105"/>
      <c r="EB162" s="105"/>
      <c r="EC162" s="105"/>
      <c r="ED162" s="105"/>
      <c r="EE162" s="105"/>
      <c r="EF162" s="105"/>
      <c r="EG162" s="105">
        <f t="shared" si="318"/>
        <v>8730.5</v>
      </c>
      <c r="EH162" s="105"/>
      <c r="EI162" s="105"/>
      <c r="EJ162" s="105">
        <f>EJ163+EJ164+EJ165</f>
        <v>8730.5</v>
      </c>
      <c r="EK162" s="105">
        <f t="shared" si="319"/>
        <v>0</v>
      </c>
      <c r="EL162" s="105">
        <f>EL163+EL164</f>
        <v>0</v>
      </c>
      <c r="EM162" s="105"/>
      <c r="EN162" s="105">
        <f>EN163+EN164</f>
        <v>0</v>
      </c>
      <c r="EO162" s="105">
        <f t="shared" si="331"/>
        <v>-8730.5</v>
      </c>
      <c r="EP162" s="105">
        <f>EP163+EP164</f>
        <v>0</v>
      </c>
      <c r="EQ162" s="105"/>
      <c r="ER162" s="105">
        <f>ER163+ER164</f>
        <v>-8730.5</v>
      </c>
      <c r="ES162" s="106">
        <f t="shared" si="314"/>
        <v>0</v>
      </c>
      <c r="ET162" s="106">
        <f>ET163+ET164</f>
        <v>0</v>
      </c>
      <c r="EU162" s="106"/>
      <c r="EV162" s="105">
        <f>EV163+EV164+EV165</f>
        <v>0</v>
      </c>
      <c r="EW162" s="105">
        <f>EW163+EW164+EW165</f>
        <v>22596.148000000001</v>
      </c>
      <c r="EX162" s="105">
        <f>EX163+EX164</f>
        <v>0</v>
      </c>
      <c r="EY162" s="105">
        <f>EY163+EY164+EY165</f>
        <v>22596.148000000001</v>
      </c>
      <c r="EZ162" s="105"/>
      <c r="FA162" s="105"/>
      <c r="FB162" s="105"/>
      <c r="FC162" s="103">
        <f t="shared" si="320"/>
        <v>0</v>
      </c>
      <c r="FD162" s="103"/>
      <c r="FE162" s="103"/>
      <c r="FF162" s="103">
        <f>FF163+FF164+FF165</f>
        <v>0</v>
      </c>
      <c r="FG162" s="103">
        <f>FH162+FJ162</f>
        <v>0</v>
      </c>
      <c r="FH162" s="103">
        <f>FH163+FH164</f>
        <v>0</v>
      </c>
      <c r="FI162" s="103"/>
      <c r="FJ162" s="103">
        <f>FJ163+FJ164</f>
        <v>0</v>
      </c>
      <c r="FK162" s="103">
        <f>FL162+FN162</f>
        <v>0</v>
      </c>
      <c r="FL162" s="103"/>
      <c r="FM162" s="103"/>
      <c r="FN162" s="103">
        <f>FN164+FN165</f>
        <v>0</v>
      </c>
      <c r="FO162" s="103">
        <f t="shared" si="321"/>
        <v>8730.5</v>
      </c>
      <c r="FP162" s="103"/>
      <c r="FQ162" s="103"/>
      <c r="FR162" s="103">
        <f>FR163+FR164+FR165</f>
        <v>8730.5</v>
      </c>
      <c r="FS162" s="629">
        <f t="shared" si="338"/>
        <v>0</v>
      </c>
      <c r="FT162" s="595" t="e">
        <f t="shared" si="241"/>
        <v>#DIV/0!</v>
      </c>
      <c r="FU162" s="629">
        <v>0</v>
      </c>
      <c r="FV162" s="595">
        <v>0</v>
      </c>
      <c r="FW162" s="522">
        <f t="shared" si="333"/>
        <v>0</v>
      </c>
      <c r="FX162" s="666">
        <v>0</v>
      </c>
      <c r="FY162" s="629">
        <f t="shared" si="335"/>
        <v>0</v>
      </c>
      <c r="FZ162" s="666" t="e">
        <f t="shared" si="322"/>
        <v>#DIV/0!</v>
      </c>
      <c r="GA162" s="629">
        <f t="shared" si="247"/>
        <v>0</v>
      </c>
      <c r="GB162" s="595">
        <v>0</v>
      </c>
      <c r="GC162" s="629"/>
      <c r="GD162" s="595"/>
      <c r="GE162" s="522"/>
      <c r="GF162" s="514"/>
      <c r="GG162" s="522">
        <f t="shared" si="336"/>
        <v>0</v>
      </c>
      <c r="GH162" s="514">
        <v>0</v>
      </c>
      <c r="GI162" s="629">
        <f t="shared" si="243"/>
        <v>0</v>
      </c>
      <c r="GJ162" s="595" t="e">
        <f t="shared" si="244"/>
        <v>#DIV/0!</v>
      </c>
      <c r="GK162" s="629">
        <f t="shared" si="337"/>
        <v>0</v>
      </c>
      <c r="GL162" s="595">
        <v>0</v>
      </c>
      <c r="GM162" s="629">
        <f t="shared" si="334"/>
        <v>0</v>
      </c>
      <c r="GN162" s="595">
        <v>0</v>
      </c>
      <c r="GO162" s="629">
        <f>GO163</f>
        <v>0</v>
      </c>
      <c r="GP162" s="595" t="e">
        <f t="shared" si="294"/>
        <v>#DIV/0!</v>
      </c>
      <c r="GQ162" s="105"/>
      <c r="GR162" s="105"/>
      <c r="GS162" s="105"/>
      <c r="GT162" s="105"/>
      <c r="GU162" s="105">
        <f t="shared" si="324"/>
        <v>0</v>
      </c>
      <c r="GV162" s="105"/>
      <c r="GW162" s="105"/>
      <c r="GX162" s="105">
        <f>GX163+GX164+GX165</f>
        <v>0</v>
      </c>
      <c r="GY162" s="105"/>
      <c r="GZ162" s="105"/>
      <c r="HA162" s="105"/>
      <c r="HB162" s="105"/>
      <c r="HC162" s="105"/>
      <c r="HD162" s="105"/>
      <c r="HE162" s="105"/>
      <c r="HF162" s="105"/>
      <c r="HG162" s="105">
        <f t="shared" si="341"/>
        <v>0</v>
      </c>
      <c r="HH162" s="105"/>
      <c r="HI162" s="105"/>
      <c r="HJ162" s="105">
        <f>HJ164+HJ165</f>
        <v>0</v>
      </c>
      <c r="HK162" s="105">
        <f t="shared" si="342"/>
        <v>0</v>
      </c>
      <c r="HL162" s="105"/>
      <c r="HM162" s="105"/>
      <c r="HN162" s="105">
        <f>HN164+HN165</f>
        <v>0</v>
      </c>
      <c r="HO162" s="105">
        <f t="shared" si="343"/>
        <v>0</v>
      </c>
      <c r="HP162" s="105"/>
      <c r="HQ162" s="105"/>
      <c r="HR162" s="105">
        <f>HR163+HR164+HR165</f>
        <v>0</v>
      </c>
      <c r="HS162" s="105">
        <f t="shared" ref="HS162:HS170" si="349">HT162+HV162</f>
        <v>0</v>
      </c>
      <c r="HT162" s="105"/>
      <c r="HU162" s="105"/>
      <c r="HV162" s="105">
        <f>HV164+HV165</f>
        <v>0</v>
      </c>
      <c r="HW162" s="105">
        <f t="shared" ref="HW162:HW170" si="350">HX162+HZ162</f>
        <v>0</v>
      </c>
      <c r="HX162" s="105"/>
      <c r="HY162" s="105"/>
      <c r="HZ162" s="105">
        <f>HZ164+HZ165</f>
        <v>0</v>
      </c>
      <c r="IA162" s="105">
        <f t="shared" ref="IA162:IA170" si="351">IB162+ID162</f>
        <v>0</v>
      </c>
      <c r="IB162" s="105"/>
      <c r="IC162" s="105"/>
      <c r="ID162" s="105">
        <f>ID164+ID165</f>
        <v>0</v>
      </c>
      <c r="IE162" s="228"/>
      <c r="IF162" s="141"/>
      <c r="IG162" s="141"/>
      <c r="IH162" s="141"/>
    </row>
    <row r="163" spans="2:242" s="225" customFormat="1" ht="103.5" hidden="1" customHeight="1" x14ac:dyDescent="0.2">
      <c r="B163" s="186" t="s">
        <v>134</v>
      </c>
      <c r="C163" s="226" t="s">
        <v>264</v>
      </c>
      <c r="D163" s="222"/>
      <c r="E163" s="143"/>
      <c r="F163" s="143"/>
      <c r="G163" s="143"/>
      <c r="H163" s="143"/>
      <c r="I163" s="143"/>
      <c r="J163" s="143"/>
      <c r="K163" s="143"/>
      <c r="L163" s="143"/>
      <c r="M163" s="143"/>
      <c r="N163" s="143"/>
      <c r="O163" s="143"/>
      <c r="P163" s="143"/>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68"/>
      <c r="AL163" s="168"/>
      <c r="AM163" s="223"/>
      <c r="AN163" s="223"/>
      <c r="AO163" s="166"/>
      <c r="AP163" s="144"/>
      <c r="AQ163" s="144"/>
      <c r="AR163" s="168"/>
      <c r="AS163" s="144"/>
      <c r="AT163" s="144"/>
      <c r="AU163" s="144"/>
      <c r="AV163" s="144"/>
      <c r="AW163" s="144"/>
      <c r="AX163" s="144"/>
      <c r="AY163" s="144"/>
      <c r="AZ163" s="144"/>
      <c r="BA163" s="144"/>
      <c r="BB163" s="144"/>
      <c r="BC163" s="144"/>
      <c r="BD163" s="144"/>
      <c r="BE163" s="144"/>
      <c r="BF163" s="144"/>
      <c r="BG163" s="144"/>
      <c r="BH163" s="144"/>
      <c r="BI163" s="144"/>
      <c r="BJ163" s="144"/>
      <c r="BK163" s="167"/>
      <c r="BL163" s="168"/>
      <c r="BM163" s="168"/>
      <c r="BN163" s="168"/>
      <c r="BO163" s="168"/>
      <c r="BP163" s="168"/>
      <c r="BQ163" s="168"/>
      <c r="BR163" s="168"/>
      <c r="BS163" s="168"/>
      <c r="BT163" s="168"/>
      <c r="BU163" s="168"/>
      <c r="BV163" s="144"/>
      <c r="BW163" s="144"/>
      <c r="BX163" s="144"/>
      <c r="BY163" s="144"/>
      <c r="BZ163" s="144"/>
      <c r="CA163" s="144"/>
      <c r="CB163" s="144">
        <f t="shared" si="305"/>
        <v>0</v>
      </c>
      <c r="CC163" s="144"/>
      <c r="CD163" s="144"/>
      <c r="CE163" s="168"/>
      <c r="CF163" s="168"/>
      <c r="CG163" s="144"/>
      <c r="CH163" s="144"/>
      <c r="CI163" s="144"/>
      <c r="CJ163" s="144"/>
      <c r="CK163" s="144"/>
      <c r="CL163" s="144"/>
      <c r="CM163" s="144"/>
      <c r="CN163" s="144"/>
      <c r="CO163" s="144"/>
      <c r="CP163" s="144"/>
      <c r="CQ163" s="144"/>
      <c r="CR163" s="144"/>
      <c r="CS163" s="144"/>
      <c r="CT163" s="144"/>
      <c r="CU163" s="144"/>
      <c r="CV163" s="144"/>
      <c r="CW163" s="144">
        <f t="shared" si="306"/>
        <v>8730.5</v>
      </c>
      <c r="CX163" s="144"/>
      <c r="CY163" s="144">
        <v>8730.5</v>
      </c>
      <c r="CZ163" s="144">
        <f t="shared" si="307"/>
        <v>0</v>
      </c>
      <c r="DA163" s="144"/>
      <c r="DB163" s="144"/>
      <c r="DC163" s="144"/>
      <c r="DD163" s="144"/>
      <c r="DE163" s="144"/>
      <c r="DF163" s="144">
        <f t="shared" si="308"/>
        <v>0</v>
      </c>
      <c r="DG163" s="144"/>
      <c r="DH163" s="144"/>
      <c r="DI163" s="144">
        <f t="shared" si="283"/>
        <v>8730.5</v>
      </c>
      <c r="DJ163" s="144"/>
      <c r="DK163" s="144">
        <f>CY163</f>
        <v>8730.5</v>
      </c>
      <c r="DL163" s="144">
        <f t="shared" si="309"/>
        <v>0</v>
      </c>
      <c r="DM163" s="144"/>
      <c r="DN163" s="144"/>
      <c r="DO163" s="144">
        <f t="shared" si="310"/>
        <v>0</v>
      </c>
      <c r="DP163" s="144"/>
      <c r="DQ163" s="144"/>
      <c r="DR163" s="144">
        <f t="shared" si="311"/>
        <v>8730.5</v>
      </c>
      <c r="DS163" s="144"/>
      <c r="DT163" s="144">
        <f>DK163-DN163-DQ163</f>
        <v>8730.5</v>
      </c>
      <c r="DU163" s="144">
        <f t="shared" si="312"/>
        <v>0</v>
      </c>
      <c r="DV163" s="144"/>
      <c r="DW163" s="144"/>
      <c r="DX163" s="144">
        <f t="shared" si="313"/>
        <v>6471.6639999999998</v>
      </c>
      <c r="DY163" s="144"/>
      <c r="DZ163" s="144">
        <v>6471.6639999999998</v>
      </c>
      <c r="EA163" s="144"/>
      <c r="EB163" s="144"/>
      <c r="EC163" s="144"/>
      <c r="ED163" s="144"/>
      <c r="EE163" s="144"/>
      <c r="EF163" s="144"/>
      <c r="EG163" s="144">
        <f t="shared" si="318"/>
        <v>8730.5</v>
      </c>
      <c r="EH163" s="144"/>
      <c r="EI163" s="144"/>
      <c r="EJ163" s="144">
        <v>8730.5</v>
      </c>
      <c r="EK163" s="144">
        <f t="shared" si="319"/>
        <v>0</v>
      </c>
      <c r="EL163" s="144"/>
      <c r="EM163" s="144"/>
      <c r="EN163" s="144"/>
      <c r="EO163" s="144">
        <f t="shared" si="331"/>
        <v>-8730.5</v>
      </c>
      <c r="EP163" s="144"/>
      <c r="EQ163" s="144"/>
      <c r="ER163" s="144">
        <f>EV163-EJ163</f>
        <v>-8730.5</v>
      </c>
      <c r="ES163" s="164">
        <f t="shared" si="314"/>
        <v>0</v>
      </c>
      <c r="ET163" s="164">
        <f>ED163</f>
        <v>0</v>
      </c>
      <c r="EU163" s="164"/>
      <c r="EV163" s="144"/>
      <c r="EW163" s="144">
        <f>EX163+EY163</f>
        <v>0</v>
      </c>
      <c r="EX163" s="144"/>
      <c r="EY163" s="144">
        <v>0</v>
      </c>
      <c r="EZ163" s="144"/>
      <c r="FA163" s="144"/>
      <c r="FB163" s="144"/>
      <c r="FC163" s="143">
        <f t="shared" si="320"/>
        <v>0</v>
      </c>
      <c r="FD163" s="143"/>
      <c r="FE163" s="143"/>
      <c r="FF163" s="143">
        <v>0</v>
      </c>
      <c r="FG163" s="143">
        <f>FH163+FJ163</f>
        <v>0</v>
      </c>
      <c r="FH163" s="143"/>
      <c r="FI163" s="143"/>
      <c r="FJ163" s="143"/>
      <c r="FK163" s="143">
        <f>FL163+FN163</f>
        <v>8730.5</v>
      </c>
      <c r="FL163" s="143"/>
      <c r="FM163" s="143"/>
      <c r="FN163" s="143">
        <f>FR163</f>
        <v>8730.5</v>
      </c>
      <c r="FO163" s="143">
        <f t="shared" si="321"/>
        <v>8730.5</v>
      </c>
      <c r="FP163" s="143"/>
      <c r="FQ163" s="143"/>
      <c r="FR163" s="143">
        <f>EJ163</f>
        <v>8730.5</v>
      </c>
      <c r="FS163" s="90">
        <f t="shared" si="338"/>
        <v>0</v>
      </c>
      <c r="FT163" s="518" t="e">
        <f t="shared" si="241"/>
        <v>#DIV/0!</v>
      </c>
      <c r="FU163" s="90">
        <v>0</v>
      </c>
      <c r="FV163" s="518">
        <v>0</v>
      </c>
      <c r="FW163" s="87">
        <f t="shared" si="333"/>
        <v>0</v>
      </c>
      <c r="FX163" s="665">
        <v>0</v>
      </c>
      <c r="FY163" s="90">
        <f t="shared" si="335"/>
        <v>0</v>
      </c>
      <c r="FZ163" s="665" t="e">
        <f t="shared" si="322"/>
        <v>#DIV/0!</v>
      </c>
      <c r="GA163" s="90">
        <f t="shared" si="247"/>
        <v>0</v>
      </c>
      <c r="GB163" s="518" t="e">
        <f t="shared" si="248"/>
        <v>#DIV/0!</v>
      </c>
      <c r="GC163" s="90"/>
      <c r="GD163" s="518"/>
      <c r="GE163" s="87"/>
      <c r="GF163" s="515"/>
      <c r="GG163" s="87">
        <f t="shared" si="336"/>
        <v>0</v>
      </c>
      <c r="GH163" s="515" t="e">
        <f t="shared" si="323"/>
        <v>#DIV/0!</v>
      </c>
      <c r="GI163" s="90">
        <f t="shared" si="243"/>
        <v>0</v>
      </c>
      <c r="GJ163" s="518" t="e">
        <f t="shared" si="244"/>
        <v>#DIV/0!</v>
      </c>
      <c r="GK163" s="90">
        <f t="shared" si="337"/>
        <v>0</v>
      </c>
      <c r="GL163" s="518">
        <v>0</v>
      </c>
      <c r="GM163" s="90">
        <f t="shared" si="334"/>
        <v>0</v>
      </c>
      <c r="GN163" s="518">
        <v>0</v>
      </c>
      <c r="GO163" s="90">
        <f>FF163</f>
        <v>0</v>
      </c>
      <c r="GP163" s="518" t="e">
        <f t="shared" si="294"/>
        <v>#DIV/0!</v>
      </c>
      <c r="GQ163" s="143"/>
      <c r="GR163" s="143"/>
      <c r="GS163" s="143"/>
      <c r="GT163" s="143"/>
      <c r="GU163" s="144">
        <f t="shared" si="324"/>
        <v>0</v>
      </c>
      <c r="GV163" s="144"/>
      <c r="GW163" s="144"/>
      <c r="GX163" s="144">
        <v>0</v>
      </c>
      <c r="GY163" s="144"/>
      <c r="GZ163" s="144"/>
      <c r="HA163" s="144"/>
      <c r="HB163" s="144"/>
      <c r="HC163" s="144"/>
      <c r="HD163" s="144"/>
      <c r="HE163" s="144"/>
      <c r="HF163" s="144"/>
      <c r="HG163" s="144">
        <f t="shared" si="341"/>
        <v>0</v>
      </c>
      <c r="HH163" s="144"/>
      <c r="HI163" s="144"/>
      <c r="HJ163" s="144">
        <f>HC163</f>
        <v>0</v>
      </c>
      <c r="HK163" s="144">
        <f t="shared" si="342"/>
        <v>0</v>
      </c>
      <c r="HL163" s="144"/>
      <c r="HM163" s="144"/>
      <c r="HN163" s="144">
        <f>HG163</f>
        <v>0</v>
      </c>
      <c r="HO163" s="144">
        <f t="shared" si="343"/>
        <v>0</v>
      </c>
      <c r="HP163" s="144"/>
      <c r="HQ163" s="144"/>
      <c r="HR163" s="144">
        <f>HG163</f>
        <v>0</v>
      </c>
      <c r="HS163" s="144">
        <f t="shared" si="349"/>
        <v>0</v>
      </c>
      <c r="HT163" s="144"/>
      <c r="HU163" s="144"/>
      <c r="HV163" s="144">
        <v>0</v>
      </c>
      <c r="HW163" s="144">
        <f t="shared" si="350"/>
        <v>0</v>
      </c>
      <c r="HX163" s="144"/>
      <c r="HY163" s="144"/>
      <c r="HZ163" s="144">
        <v>0</v>
      </c>
      <c r="IA163" s="144">
        <f t="shared" si="351"/>
        <v>0</v>
      </c>
      <c r="IB163" s="144"/>
      <c r="IC163" s="144"/>
      <c r="ID163" s="144">
        <v>0</v>
      </c>
      <c r="IE163" s="548" t="s">
        <v>265</v>
      </c>
      <c r="IF163" s="145"/>
      <c r="IG163" s="145"/>
      <c r="IH163" s="145"/>
    </row>
    <row r="164" spans="2:242" s="202" customFormat="1" ht="132" hidden="1" customHeight="1" x14ac:dyDescent="0.25">
      <c r="B164" s="100" t="s">
        <v>221</v>
      </c>
      <c r="C164" s="560" t="s">
        <v>266</v>
      </c>
      <c r="D164" s="102"/>
      <c r="E164" s="103"/>
      <c r="F164" s="103"/>
      <c r="G164" s="103"/>
      <c r="H164" s="103"/>
      <c r="I164" s="103"/>
      <c r="J164" s="103"/>
      <c r="K164" s="103"/>
      <c r="L164" s="103"/>
      <c r="M164" s="103"/>
      <c r="N164" s="103"/>
      <c r="O164" s="103"/>
      <c r="P164" s="103"/>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6"/>
      <c r="AL164" s="106"/>
      <c r="AM164" s="111"/>
      <c r="AN164" s="111"/>
      <c r="AO164" s="109"/>
      <c r="AP164" s="105"/>
      <c r="AQ164" s="105"/>
      <c r="AR164" s="106"/>
      <c r="AS164" s="105"/>
      <c r="AT164" s="105"/>
      <c r="AU164" s="105"/>
      <c r="AV164" s="105"/>
      <c r="AW164" s="105"/>
      <c r="AX164" s="105"/>
      <c r="AY164" s="105"/>
      <c r="AZ164" s="105"/>
      <c r="BA164" s="105"/>
      <c r="BB164" s="105"/>
      <c r="BC164" s="105"/>
      <c r="BD164" s="105"/>
      <c r="BE164" s="105"/>
      <c r="BF164" s="105"/>
      <c r="BG164" s="105"/>
      <c r="BH164" s="105"/>
      <c r="BI164" s="105"/>
      <c r="BJ164" s="105"/>
      <c r="BK164" s="110"/>
      <c r="BL164" s="106"/>
      <c r="BM164" s="106"/>
      <c r="BN164" s="106"/>
      <c r="BO164" s="106"/>
      <c r="BP164" s="106"/>
      <c r="BQ164" s="106"/>
      <c r="BR164" s="106"/>
      <c r="BS164" s="106"/>
      <c r="BT164" s="106"/>
      <c r="BU164" s="106"/>
      <c r="BV164" s="105"/>
      <c r="BW164" s="105"/>
      <c r="BX164" s="105"/>
      <c r="BY164" s="105"/>
      <c r="BZ164" s="105"/>
      <c r="CA164" s="105"/>
      <c r="CB164" s="105">
        <f t="shared" si="305"/>
        <v>0</v>
      </c>
      <c r="CC164" s="105"/>
      <c r="CD164" s="105"/>
      <c r="CE164" s="106"/>
      <c r="CF164" s="106"/>
      <c r="CG164" s="105"/>
      <c r="CH164" s="105"/>
      <c r="CI164" s="105"/>
      <c r="CJ164" s="105"/>
      <c r="CK164" s="105"/>
      <c r="CL164" s="105"/>
      <c r="CM164" s="105"/>
      <c r="CN164" s="105"/>
      <c r="CO164" s="105"/>
      <c r="CP164" s="105"/>
      <c r="CQ164" s="105"/>
      <c r="CR164" s="105"/>
      <c r="CS164" s="105"/>
      <c r="CT164" s="105">
        <f>CU164+CV164</f>
        <v>0</v>
      </c>
      <c r="CU164" s="105"/>
      <c r="CV164" s="105">
        <f>CY164-CD164</f>
        <v>0</v>
      </c>
      <c r="CW164" s="105">
        <f t="shared" si="306"/>
        <v>0</v>
      </c>
      <c r="CX164" s="105"/>
      <c r="CY164" s="105">
        <v>0</v>
      </c>
      <c r="CZ164" s="105">
        <f t="shared" si="307"/>
        <v>0</v>
      </c>
      <c r="DA164" s="105"/>
      <c r="DB164" s="105"/>
      <c r="DC164" s="105"/>
      <c r="DD164" s="105"/>
      <c r="DE164" s="105"/>
      <c r="DF164" s="105">
        <f t="shared" si="308"/>
        <v>0</v>
      </c>
      <c r="DG164" s="105"/>
      <c r="DH164" s="105">
        <v>0</v>
      </c>
      <c r="DI164" s="105">
        <f t="shared" si="283"/>
        <v>0</v>
      </c>
      <c r="DJ164" s="105"/>
      <c r="DK164" s="105">
        <v>0</v>
      </c>
      <c r="DL164" s="105">
        <f t="shared" si="309"/>
        <v>0</v>
      </c>
      <c r="DM164" s="105"/>
      <c r="DN164" s="105">
        <v>0</v>
      </c>
      <c r="DO164" s="105">
        <f t="shared" si="310"/>
        <v>0</v>
      </c>
      <c r="DP164" s="105"/>
      <c r="DQ164" s="105">
        <v>0</v>
      </c>
      <c r="DR164" s="105">
        <f t="shared" si="311"/>
        <v>0</v>
      </c>
      <c r="DS164" s="105"/>
      <c r="DT164" s="105">
        <v>0</v>
      </c>
      <c r="DU164" s="105">
        <f t="shared" si="312"/>
        <v>0</v>
      </c>
      <c r="DV164" s="105"/>
      <c r="DW164" s="105"/>
      <c r="DX164" s="105">
        <f t="shared" si="313"/>
        <v>16124.484</v>
      </c>
      <c r="DY164" s="105"/>
      <c r="DZ164" s="105">
        <v>16124.484</v>
      </c>
      <c r="EA164" s="105"/>
      <c r="EB164" s="105"/>
      <c r="EC164" s="105"/>
      <c r="ED164" s="105"/>
      <c r="EE164" s="105"/>
      <c r="EF164" s="105"/>
      <c r="EG164" s="105">
        <f t="shared" si="318"/>
        <v>0</v>
      </c>
      <c r="EH164" s="105"/>
      <c r="EI164" s="105"/>
      <c r="EJ164" s="105">
        <v>0</v>
      </c>
      <c r="EK164" s="105">
        <f t="shared" si="319"/>
        <v>0</v>
      </c>
      <c r="EL164" s="105"/>
      <c r="EM164" s="105"/>
      <c r="EN164" s="105">
        <v>0</v>
      </c>
      <c r="EO164" s="105">
        <f t="shared" si="331"/>
        <v>0</v>
      </c>
      <c r="EP164" s="105"/>
      <c r="EQ164" s="105"/>
      <c r="ER164" s="105">
        <f>EV164-EJ164</f>
        <v>0</v>
      </c>
      <c r="ES164" s="181">
        <f t="shared" si="314"/>
        <v>0</v>
      </c>
      <c r="ET164" s="181">
        <f>ED164</f>
        <v>0</v>
      </c>
      <c r="EU164" s="181"/>
      <c r="EV164" s="105"/>
      <c r="EW164" s="105">
        <f>EX164+EY164</f>
        <v>16124.484</v>
      </c>
      <c r="EX164" s="105"/>
      <c r="EY164" s="105">
        <v>16124.484</v>
      </c>
      <c r="EZ164" s="105"/>
      <c r="FA164" s="105"/>
      <c r="FB164" s="105"/>
      <c r="FC164" s="103">
        <f t="shared" si="320"/>
        <v>0</v>
      </c>
      <c r="FD164" s="103"/>
      <c r="FE164" s="103"/>
      <c r="FF164" s="103">
        <v>0</v>
      </c>
      <c r="FG164" s="103">
        <f>FH164+FJ164</f>
        <v>0</v>
      </c>
      <c r="FH164" s="103"/>
      <c r="FI164" s="103"/>
      <c r="FJ164" s="103">
        <v>0</v>
      </c>
      <c r="FK164" s="103">
        <f>FN164</f>
        <v>0</v>
      </c>
      <c r="FL164" s="103"/>
      <c r="FM164" s="103"/>
      <c r="FN164" s="103">
        <f>FR164-FF164</f>
        <v>0</v>
      </c>
      <c r="FO164" s="103">
        <f t="shared" si="321"/>
        <v>0</v>
      </c>
      <c r="FP164" s="103"/>
      <c r="FQ164" s="103"/>
      <c r="FR164" s="103">
        <f>EJ164</f>
        <v>0</v>
      </c>
      <c r="FS164" s="629">
        <f t="shared" si="338"/>
        <v>0</v>
      </c>
      <c r="FT164" s="595" t="e">
        <f t="shared" si="241"/>
        <v>#DIV/0!</v>
      </c>
      <c r="FU164" s="629">
        <v>0</v>
      </c>
      <c r="FV164" s="595" t="e">
        <f t="shared" si="242"/>
        <v>#DIV/0!</v>
      </c>
      <c r="FW164" s="522">
        <f t="shared" si="333"/>
        <v>0</v>
      </c>
      <c r="FX164" s="666" t="e">
        <f>FW164/FE164</f>
        <v>#DIV/0!</v>
      </c>
      <c r="FY164" s="629">
        <f t="shared" si="335"/>
        <v>0</v>
      </c>
      <c r="FZ164" s="666" t="e">
        <f t="shared" si="322"/>
        <v>#DIV/0!</v>
      </c>
      <c r="GA164" s="629">
        <f t="shared" si="247"/>
        <v>0</v>
      </c>
      <c r="GB164" s="595" t="e">
        <f t="shared" si="248"/>
        <v>#DIV/0!</v>
      </c>
      <c r="GC164" s="629"/>
      <c r="GD164" s="595"/>
      <c r="GE164" s="522"/>
      <c r="GF164" s="514"/>
      <c r="GG164" s="522">
        <f t="shared" si="336"/>
        <v>0</v>
      </c>
      <c r="GH164" s="514" t="e">
        <f t="shared" si="323"/>
        <v>#DIV/0!</v>
      </c>
      <c r="GI164" s="629">
        <f t="shared" si="243"/>
        <v>0</v>
      </c>
      <c r="GJ164" s="595" t="e">
        <f t="shared" si="244"/>
        <v>#DIV/0!</v>
      </c>
      <c r="GK164" s="629">
        <f t="shared" si="337"/>
        <v>0</v>
      </c>
      <c r="GL164" s="595" t="e">
        <f t="shared" si="245"/>
        <v>#DIV/0!</v>
      </c>
      <c r="GM164" s="629">
        <f t="shared" si="334"/>
        <v>0</v>
      </c>
      <c r="GN164" s="595" t="e">
        <f>GM164/FE164</f>
        <v>#DIV/0!</v>
      </c>
      <c r="GO164" s="629">
        <f>GO412+GO461</f>
        <v>0</v>
      </c>
      <c r="GP164" s="595" t="e">
        <f t="shared" si="294"/>
        <v>#DIV/0!</v>
      </c>
      <c r="GQ164" s="105"/>
      <c r="GR164" s="105"/>
      <c r="GS164" s="105"/>
      <c r="GT164" s="105"/>
      <c r="GU164" s="105">
        <f t="shared" si="324"/>
        <v>0</v>
      </c>
      <c r="GV164" s="105"/>
      <c r="GW164" s="105"/>
      <c r="GX164" s="105">
        <v>0</v>
      </c>
      <c r="GY164" s="105"/>
      <c r="GZ164" s="105"/>
      <c r="HA164" s="105"/>
      <c r="HB164" s="105"/>
      <c r="HC164" s="105"/>
      <c r="HD164" s="105"/>
      <c r="HE164" s="105"/>
      <c r="HF164" s="105"/>
      <c r="HG164" s="105">
        <f t="shared" si="341"/>
        <v>0</v>
      </c>
      <c r="HH164" s="105"/>
      <c r="HI164" s="105"/>
      <c r="HJ164" s="105"/>
      <c r="HK164" s="105">
        <f t="shared" si="342"/>
        <v>0</v>
      </c>
      <c r="HL164" s="105"/>
      <c r="HM164" s="105"/>
      <c r="HN164" s="105"/>
      <c r="HO164" s="105">
        <f t="shared" si="343"/>
        <v>0</v>
      </c>
      <c r="HP164" s="105"/>
      <c r="HQ164" s="105"/>
      <c r="HR164" s="105">
        <v>0</v>
      </c>
      <c r="HS164" s="105">
        <f t="shared" si="349"/>
        <v>0</v>
      </c>
      <c r="HT164" s="105"/>
      <c r="HU164" s="105"/>
      <c r="HV164" s="105">
        <v>0</v>
      </c>
      <c r="HW164" s="105">
        <f t="shared" si="350"/>
        <v>0</v>
      </c>
      <c r="HX164" s="105"/>
      <c r="HY164" s="105"/>
      <c r="HZ164" s="105"/>
      <c r="IA164" s="105">
        <f t="shared" si="351"/>
        <v>0</v>
      </c>
      <c r="IB164" s="105"/>
      <c r="IC164" s="105"/>
      <c r="ID164" s="105">
        <v>0</v>
      </c>
      <c r="IE164" s="199" t="s">
        <v>267</v>
      </c>
      <c r="IF164" s="141"/>
      <c r="IG164" s="141"/>
      <c r="IH164" s="141"/>
    </row>
    <row r="165" spans="2:242" s="202" customFormat="1" ht="92.25" hidden="1" customHeight="1" x14ac:dyDescent="0.25">
      <c r="B165" s="100" t="s">
        <v>221</v>
      </c>
      <c r="C165" s="560" t="s">
        <v>268</v>
      </c>
      <c r="D165" s="102"/>
      <c r="E165" s="103"/>
      <c r="F165" s="103"/>
      <c r="G165" s="103"/>
      <c r="H165" s="103"/>
      <c r="I165" s="103"/>
      <c r="J165" s="103"/>
      <c r="K165" s="103"/>
      <c r="L165" s="103"/>
      <c r="M165" s="103"/>
      <c r="N165" s="103"/>
      <c r="O165" s="103"/>
      <c r="P165" s="103"/>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6"/>
      <c r="AL165" s="106"/>
      <c r="AM165" s="111"/>
      <c r="AN165" s="111"/>
      <c r="AO165" s="109"/>
      <c r="AP165" s="105"/>
      <c r="AQ165" s="105"/>
      <c r="AR165" s="106"/>
      <c r="AS165" s="105"/>
      <c r="AT165" s="105"/>
      <c r="AU165" s="105"/>
      <c r="AV165" s="105"/>
      <c r="AW165" s="105"/>
      <c r="AX165" s="105"/>
      <c r="AY165" s="105"/>
      <c r="AZ165" s="105"/>
      <c r="BA165" s="105"/>
      <c r="BB165" s="105"/>
      <c r="BC165" s="105"/>
      <c r="BD165" s="105"/>
      <c r="BE165" s="105"/>
      <c r="BF165" s="105"/>
      <c r="BG165" s="105"/>
      <c r="BH165" s="105"/>
      <c r="BI165" s="105"/>
      <c r="BJ165" s="105"/>
      <c r="BK165" s="110"/>
      <c r="BL165" s="106"/>
      <c r="BM165" s="106"/>
      <c r="BN165" s="106"/>
      <c r="BO165" s="106"/>
      <c r="BP165" s="106"/>
      <c r="BQ165" s="106"/>
      <c r="BR165" s="106"/>
      <c r="BS165" s="106"/>
      <c r="BT165" s="106"/>
      <c r="BU165" s="106"/>
      <c r="BV165" s="105"/>
      <c r="BW165" s="105"/>
      <c r="BX165" s="105"/>
      <c r="BY165" s="105"/>
      <c r="BZ165" s="105"/>
      <c r="CA165" s="105"/>
      <c r="CB165" s="105"/>
      <c r="CC165" s="105"/>
      <c r="CD165" s="105"/>
      <c r="CE165" s="106"/>
      <c r="CF165" s="106"/>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f t="shared" si="318"/>
        <v>0</v>
      </c>
      <c r="EH165" s="105"/>
      <c r="EI165" s="105"/>
      <c r="EJ165" s="105">
        <v>0</v>
      </c>
      <c r="EK165" s="105"/>
      <c r="EL165" s="105"/>
      <c r="EM165" s="105"/>
      <c r="EN165" s="105"/>
      <c r="EO165" s="105"/>
      <c r="EP165" s="105"/>
      <c r="EQ165" s="105"/>
      <c r="ER165" s="105"/>
      <c r="ES165" s="181"/>
      <c r="ET165" s="181"/>
      <c r="EU165" s="181"/>
      <c r="EV165" s="105"/>
      <c r="EW165" s="105">
        <f>EX165+EY165</f>
        <v>6471.6639999999998</v>
      </c>
      <c r="EX165" s="105"/>
      <c r="EY165" s="105">
        <v>6471.6639999999998</v>
      </c>
      <c r="EZ165" s="105"/>
      <c r="FA165" s="105"/>
      <c r="FB165" s="105"/>
      <c r="FC165" s="103">
        <f t="shared" si="320"/>
        <v>0</v>
      </c>
      <c r="FD165" s="103"/>
      <c r="FE165" s="103"/>
      <c r="FF165" s="103">
        <v>0</v>
      </c>
      <c r="FG165" s="103"/>
      <c r="FH165" s="103"/>
      <c r="FI165" s="103"/>
      <c r="FJ165" s="103"/>
      <c r="FK165" s="103">
        <f>FN165</f>
        <v>0</v>
      </c>
      <c r="FL165" s="103"/>
      <c r="FM165" s="103"/>
      <c r="FN165" s="103">
        <f>FR165-FF165</f>
        <v>0</v>
      </c>
      <c r="FO165" s="103">
        <f t="shared" si="321"/>
        <v>0</v>
      </c>
      <c r="FP165" s="103"/>
      <c r="FQ165" s="103"/>
      <c r="FR165" s="103">
        <f>EJ165</f>
        <v>0</v>
      </c>
      <c r="FS165" s="629">
        <f t="shared" si="338"/>
        <v>0</v>
      </c>
      <c r="FT165" s="595" t="e">
        <f t="shared" si="241"/>
        <v>#DIV/0!</v>
      </c>
      <c r="FU165" s="629">
        <v>0</v>
      </c>
      <c r="FV165" s="595" t="e">
        <f t="shared" si="242"/>
        <v>#DIV/0!</v>
      </c>
      <c r="FW165" s="522">
        <f t="shared" si="333"/>
        <v>0</v>
      </c>
      <c r="FX165" s="666" t="e">
        <f>FW165/FE165</f>
        <v>#DIV/0!</v>
      </c>
      <c r="FY165" s="629">
        <f t="shared" si="335"/>
        <v>0</v>
      </c>
      <c r="FZ165" s="666" t="e">
        <f t="shared" si="322"/>
        <v>#DIV/0!</v>
      </c>
      <c r="GA165" s="629">
        <f t="shared" si="247"/>
        <v>0</v>
      </c>
      <c r="GB165" s="595" t="e">
        <f t="shared" si="248"/>
        <v>#DIV/0!</v>
      </c>
      <c r="GC165" s="629"/>
      <c r="GD165" s="595"/>
      <c r="GE165" s="522"/>
      <c r="GF165" s="514"/>
      <c r="GG165" s="522">
        <f t="shared" si="336"/>
        <v>0</v>
      </c>
      <c r="GH165" s="514" t="e">
        <f t="shared" si="323"/>
        <v>#DIV/0!</v>
      </c>
      <c r="GI165" s="629">
        <f t="shared" si="243"/>
        <v>0</v>
      </c>
      <c r="GJ165" s="595" t="e">
        <f t="shared" si="244"/>
        <v>#DIV/0!</v>
      </c>
      <c r="GK165" s="629">
        <f t="shared" si="337"/>
        <v>0</v>
      </c>
      <c r="GL165" s="595" t="e">
        <f t="shared" si="245"/>
        <v>#DIV/0!</v>
      </c>
      <c r="GM165" s="629">
        <f t="shared" si="334"/>
        <v>0</v>
      </c>
      <c r="GN165" s="595" t="e">
        <f>GM165/FE165</f>
        <v>#DIV/0!</v>
      </c>
      <c r="GO165" s="629">
        <f>GO413+GO462</f>
        <v>0</v>
      </c>
      <c r="GP165" s="595" t="e">
        <f t="shared" si="294"/>
        <v>#DIV/0!</v>
      </c>
      <c r="GQ165" s="105"/>
      <c r="GR165" s="105"/>
      <c r="GS165" s="105"/>
      <c r="GT165" s="105"/>
      <c r="GU165" s="105">
        <f t="shared" si="324"/>
        <v>0</v>
      </c>
      <c r="GV165" s="105"/>
      <c r="GW165" s="105"/>
      <c r="GX165" s="105"/>
      <c r="GY165" s="105"/>
      <c r="GZ165" s="105"/>
      <c r="HA165" s="105"/>
      <c r="HB165" s="105"/>
      <c r="HC165" s="105"/>
      <c r="HD165" s="105"/>
      <c r="HE165" s="105"/>
      <c r="HF165" s="105"/>
      <c r="HG165" s="105">
        <f t="shared" si="341"/>
        <v>0</v>
      </c>
      <c r="HH165" s="105"/>
      <c r="HI165" s="105"/>
      <c r="HJ165" s="105"/>
      <c r="HK165" s="105">
        <f t="shared" si="342"/>
        <v>0</v>
      </c>
      <c r="HL165" s="105"/>
      <c r="HM165" s="105"/>
      <c r="HN165" s="105"/>
      <c r="HO165" s="105">
        <f t="shared" si="343"/>
        <v>0</v>
      </c>
      <c r="HP165" s="105"/>
      <c r="HQ165" s="105"/>
      <c r="HR165" s="105"/>
      <c r="HS165" s="105">
        <f t="shared" si="349"/>
        <v>0</v>
      </c>
      <c r="HT165" s="105"/>
      <c r="HU165" s="105"/>
      <c r="HV165" s="105"/>
      <c r="HW165" s="105">
        <f t="shared" si="350"/>
        <v>0</v>
      </c>
      <c r="HX165" s="105"/>
      <c r="HY165" s="105"/>
      <c r="HZ165" s="105"/>
      <c r="IA165" s="105">
        <f t="shared" si="351"/>
        <v>0</v>
      </c>
      <c r="IB165" s="105"/>
      <c r="IC165" s="105"/>
      <c r="ID165" s="105"/>
      <c r="IE165" s="199" t="s">
        <v>269</v>
      </c>
      <c r="IF165" s="141"/>
      <c r="IG165" s="141"/>
      <c r="IH165" s="141"/>
    </row>
    <row r="166" spans="2:242" s="202" customFormat="1" ht="33" customHeight="1" x14ac:dyDescent="0.25">
      <c r="B166" s="100" t="s">
        <v>262</v>
      </c>
      <c r="C166" s="559" t="s">
        <v>271</v>
      </c>
      <c r="D166" s="102"/>
      <c r="E166" s="103"/>
      <c r="F166" s="103"/>
      <c r="G166" s="103"/>
      <c r="H166" s="103"/>
      <c r="I166" s="103"/>
      <c r="J166" s="103"/>
      <c r="K166" s="103"/>
      <c r="L166" s="103"/>
      <c r="M166" s="103"/>
      <c r="N166" s="103"/>
      <c r="O166" s="103"/>
      <c r="P166" s="103"/>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6"/>
      <c r="AL166" s="106"/>
      <c r="AM166" s="111"/>
      <c r="AN166" s="111"/>
      <c r="AO166" s="109"/>
      <c r="AP166" s="105"/>
      <c r="AQ166" s="105"/>
      <c r="AR166" s="106"/>
      <c r="AS166" s="105"/>
      <c r="AT166" s="105"/>
      <c r="AU166" s="105"/>
      <c r="AV166" s="105"/>
      <c r="AW166" s="105"/>
      <c r="AX166" s="105"/>
      <c r="AY166" s="105"/>
      <c r="AZ166" s="105"/>
      <c r="BA166" s="105"/>
      <c r="BB166" s="105"/>
      <c r="BC166" s="105"/>
      <c r="BD166" s="105"/>
      <c r="BE166" s="105"/>
      <c r="BF166" s="105"/>
      <c r="BG166" s="105"/>
      <c r="BH166" s="105"/>
      <c r="BI166" s="105"/>
      <c r="BJ166" s="105"/>
      <c r="BK166" s="110"/>
      <c r="BL166" s="106"/>
      <c r="BM166" s="106"/>
      <c r="BN166" s="106"/>
      <c r="BO166" s="106"/>
      <c r="BP166" s="106"/>
      <c r="BQ166" s="106"/>
      <c r="BR166" s="106"/>
      <c r="BS166" s="106"/>
      <c r="BT166" s="106"/>
      <c r="BU166" s="106"/>
      <c r="BV166" s="105"/>
      <c r="BW166" s="105"/>
      <c r="BX166" s="105"/>
      <c r="BY166" s="105"/>
      <c r="BZ166" s="105"/>
      <c r="CA166" s="105"/>
      <c r="CB166" s="105">
        <f t="shared" ref="CB166:DZ166" si="352">CB167</f>
        <v>0</v>
      </c>
      <c r="CC166" s="105">
        <f t="shared" si="352"/>
        <v>0</v>
      </c>
      <c r="CD166" s="105">
        <f t="shared" si="352"/>
        <v>0</v>
      </c>
      <c r="CE166" s="105">
        <f t="shared" si="352"/>
        <v>0</v>
      </c>
      <c r="CF166" s="105">
        <f t="shared" si="352"/>
        <v>0</v>
      </c>
      <c r="CG166" s="105">
        <f t="shared" si="352"/>
        <v>0</v>
      </c>
      <c r="CH166" s="105">
        <f t="shared" si="352"/>
        <v>0</v>
      </c>
      <c r="CI166" s="105">
        <f t="shared" si="352"/>
        <v>0</v>
      </c>
      <c r="CJ166" s="105">
        <f t="shared" si="352"/>
        <v>0</v>
      </c>
      <c r="CK166" s="105">
        <f t="shared" si="352"/>
        <v>0</v>
      </c>
      <c r="CL166" s="105">
        <f t="shared" si="352"/>
        <v>0</v>
      </c>
      <c r="CM166" s="105">
        <f t="shared" si="352"/>
        <v>0</v>
      </c>
      <c r="CN166" s="105">
        <f t="shared" si="352"/>
        <v>0</v>
      </c>
      <c r="CO166" s="105">
        <f t="shared" si="352"/>
        <v>0</v>
      </c>
      <c r="CP166" s="105">
        <f t="shared" si="352"/>
        <v>0</v>
      </c>
      <c r="CQ166" s="105">
        <f t="shared" si="352"/>
        <v>0</v>
      </c>
      <c r="CR166" s="105">
        <f t="shared" si="352"/>
        <v>0</v>
      </c>
      <c r="CS166" s="105">
        <f t="shared" si="352"/>
        <v>0</v>
      </c>
      <c r="CT166" s="105">
        <f t="shared" si="352"/>
        <v>45878.74</v>
      </c>
      <c r="CU166" s="105">
        <f t="shared" si="352"/>
        <v>0</v>
      </c>
      <c r="CV166" s="105">
        <f t="shared" si="352"/>
        <v>45878.74</v>
      </c>
      <c r="CW166" s="105">
        <f t="shared" si="352"/>
        <v>45878.74</v>
      </c>
      <c r="CX166" s="105">
        <f t="shared" si="352"/>
        <v>0</v>
      </c>
      <c r="CY166" s="105">
        <f t="shared" si="352"/>
        <v>45878.74</v>
      </c>
      <c r="CZ166" s="105">
        <f t="shared" si="352"/>
        <v>0</v>
      </c>
      <c r="DA166" s="105">
        <f t="shared" si="352"/>
        <v>0</v>
      </c>
      <c r="DB166" s="105">
        <f t="shared" si="352"/>
        <v>0</v>
      </c>
      <c r="DC166" s="105">
        <f t="shared" si="352"/>
        <v>0</v>
      </c>
      <c r="DD166" s="105">
        <f t="shared" si="352"/>
        <v>0</v>
      </c>
      <c r="DE166" s="105">
        <f t="shared" si="352"/>
        <v>0</v>
      </c>
      <c r="DF166" s="105">
        <f t="shared" si="352"/>
        <v>0</v>
      </c>
      <c r="DG166" s="105">
        <f t="shared" si="352"/>
        <v>0</v>
      </c>
      <c r="DH166" s="105">
        <f t="shared" si="352"/>
        <v>0</v>
      </c>
      <c r="DI166" s="105">
        <f t="shared" si="352"/>
        <v>45878.74</v>
      </c>
      <c r="DJ166" s="105">
        <f t="shared" si="352"/>
        <v>0</v>
      </c>
      <c r="DK166" s="105">
        <f t="shared" si="352"/>
        <v>45878.74</v>
      </c>
      <c r="DL166" s="105">
        <f t="shared" si="352"/>
        <v>0</v>
      </c>
      <c r="DM166" s="105">
        <f t="shared" si="352"/>
        <v>0</v>
      </c>
      <c r="DN166" s="105">
        <f t="shared" si="352"/>
        <v>0</v>
      </c>
      <c r="DO166" s="105">
        <f t="shared" si="352"/>
        <v>0</v>
      </c>
      <c r="DP166" s="105">
        <f t="shared" si="352"/>
        <v>0</v>
      </c>
      <c r="DQ166" s="105">
        <f t="shared" si="352"/>
        <v>0</v>
      </c>
      <c r="DR166" s="105">
        <f t="shared" si="352"/>
        <v>45878.74</v>
      </c>
      <c r="DS166" s="105">
        <f t="shared" si="352"/>
        <v>0</v>
      </c>
      <c r="DT166" s="105">
        <f t="shared" si="352"/>
        <v>45878.74</v>
      </c>
      <c r="DU166" s="105">
        <f t="shared" si="352"/>
        <v>0</v>
      </c>
      <c r="DV166" s="105">
        <f t="shared" si="352"/>
        <v>0</v>
      </c>
      <c r="DW166" s="105">
        <f t="shared" si="352"/>
        <v>0</v>
      </c>
      <c r="DX166" s="105">
        <f t="shared" si="352"/>
        <v>34170.603999999999</v>
      </c>
      <c r="DY166" s="105">
        <f t="shared" si="352"/>
        <v>0</v>
      </c>
      <c r="DZ166" s="105">
        <f t="shared" si="352"/>
        <v>34170.603999999999</v>
      </c>
      <c r="EA166" s="105"/>
      <c r="EB166" s="105"/>
      <c r="EC166" s="105"/>
      <c r="ED166" s="105"/>
      <c r="EE166" s="105"/>
      <c r="EF166" s="105"/>
      <c r="EG166" s="105">
        <f t="shared" si="318"/>
        <v>0</v>
      </c>
      <c r="EH166" s="105"/>
      <c r="EI166" s="105"/>
      <c r="EJ166" s="105">
        <f>DY166</f>
        <v>0</v>
      </c>
      <c r="EK166" s="105">
        <f>EK167</f>
        <v>0</v>
      </c>
      <c r="EL166" s="105">
        <f>EL167</f>
        <v>0</v>
      </c>
      <c r="EM166" s="105"/>
      <c r="EN166" s="105">
        <f>EN167</f>
        <v>0</v>
      </c>
      <c r="EO166" s="105">
        <f>EO167</f>
        <v>0</v>
      </c>
      <c r="EP166" s="105">
        <f>EP167</f>
        <v>0</v>
      </c>
      <c r="EQ166" s="105"/>
      <c r="ER166" s="105">
        <f>ER167</f>
        <v>0</v>
      </c>
      <c r="ES166" s="106">
        <f>ET166+EV166</f>
        <v>0</v>
      </c>
      <c r="ET166" s="106">
        <v>0</v>
      </c>
      <c r="EU166" s="106"/>
      <c r="EV166" s="105">
        <f>EV167</f>
        <v>0</v>
      </c>
      <c r="EW166" s="105">
        <f>EW167</f>
        <v>0</v>
      </c>
      <c r="EX166" s="105">
        <f>EX167</f>
        <v>0</v>
      </c>
      <c r="EY166" s="105">
        <f>EY167</f>
        <v>0</v>
      </c>
      <c r="EZ166" s="105"/>
      <c r="FA166" s="105"/>
      <c r="FB166" s="105"/>
      <c r="FC166" s="103">
        <f t="shared" si="320"/>
        <v>15079.640020000001</v>
      </c>
      <c r="FD166" s="103"/>
      <c r="FE166" s="103"/>
      <c r="FF166" s="103">
        <f>FF167</f>
        <v>15079.640020000001</v>
      </c>
      <c r="FG166" s="103">
        <f>FG167</f>
        <v>-2.0000001313746907E-5</v>
      </c>
      <c r="FH166" s="103">
        <f>FH167</f>
        <v>0</v>
      </c>
      <c r="FI166" s="103"/>
      <c r="FJ166" s="103">
        <f>FJ167</f>
        <v>-2.0000001313746907E-5</v>
      </c>
      <c r="FK166" s="103">
        <f>FK167</f>
        <v>0</v>
      </c>
      <c r="FL166" s="103">
        <f>FL167</f>
        <v>0</v>
      </c>
      <c r="FM166" s="103"/>
      <c r="FN166" s="103">
        <f>FN167</f>
        <v>0</v>
      </c>
      <c r="FO166" s="103">
        <f t="shared" si="321"/>
        <v>-2.0000001313746907E-5</v>
      </c>
      <c r="FP166" s="103"/>
      <c r="FQ166" s="103"/>
      <c r="FR166" s="103">
        <f>FG166</f>
        <v>-2.0000001313746907E-5</v>
      </c>
      <c r="FS166" s="629">
        <f t="shared" si="338"/>
        <v>0</v>
      </c>
      <c r="FT166" s="595">
        <f t="shared" si="241"/>
        <v>0</v>
      </c>
      <c r="FU166" s="629">
        <v>0</v>
      </c>
      <c r="FV166" s="595">
        <v>0</v>
      </c>
      <c r="FW166" s="522">
        <f t="shared" si="333"/>
        <v>0</v>
      </c>
      <c r="FX166" s="666">
        <v>0</v>
      </c>
      <c r="FY166" s="629">
        <f t="shared" si="335"/>
        <v>0</v>
      </c>
      <c r="FZ166" s="666">
        <f t="shared" si="322"/>
        <v>0</v>
      </c>
      <c r="GA166" s="629">
        <f t="shared" si="247"/>
        <v>0</v>
      </c>
      <c r="GB166" s="595">
        <f t="shared" si="248"/>
        <v>0</v>
      </c>
      <c r="GC166" s="629"/>
      <c r="GD166" s="595"/>
      <c r="GE166" s="522"/>
      <c r="GF166" s="514"/>
      <c r="GG166" s="522">
        <f t="shared" si="336"/>
        <v>0</v>
      </c>
      <c r="GH166" s="514">
        <f t="shared" si="323"/>
        <v>0</v>
      </c>
      <c r="GI166" s="629">
        <f t="shared" si="243"/>
        <v>15079.640020000001</v>
      </c>
      <c r="GJ166" s="595">
        <f t="shared" si="244"/>
        <v>1</v>
      </c>
      <c r="GK166" s="629">
        <f t="shared" si="337"/>
        <v>0</v>
      </c>
      <c r="GL166" s="595">
        <v>0</v>
      </c>
      <c r="GM166" s="629">
        <f t="shared" si="334"/>
        <v>0</v>
      </c>
      <c r="GN166" s="595">
        <v>0</v>
      </c>
      <c r="GO166" s="629">
        <f>GO167</f>
        <v>15079.640020000001</v>
      </c>
      <c r="GP166" s="595">
        <f t="shared" si="294"/>
        <v>1</v>
      </c>
      <c r="GQ166" s="105"/>
      <c r="GR166" s="105"/>
      <c r="GS166" s="105"/>
      <c r="GT166" s="105"/>
      <c r="GU166" s="105">
        <f t="shared" si="324"/>
        <v>0</v>
      </c>
      <c r="GV166" s="105"/>
      <c r="GW166" s="105"/>
      <c r="GX166" s="105">
        <f>GX167</f>
        <v>0</v>
      </c>
      <c r="GY166" s="105"/>
      <c r="GZ166" s="105"/>
      <c r="HA166" s="105"/>
      <c r="HB166" s="105"/>
      <c r="HC166" s="105"/>
      <c r="HD166" s="105"/>
      <c r="HE166" s="105"/>
      <c r="HF166" s="105"/>
      <c r="HG166" s="105">
        <f>HJ166</f>
        <v>2356.0700000000002</v>
      </c>
      <c r="HH166" s="105"/>
      <c r="HI166" s="105"/>
      <c r="HJ166" s="105">
        <f>HJ167</f>
        <v>2356.0700000000002</v>
      </c>
      <c r="HK166" s="105">
        <f t="shared" si="342"/>
        <v>2356.0700000000002</v>
      </c>
      <c r="HL166" s="105"/>
      <c r="HM166" s="105"/>
      <c r="HN166" s="105">
        <f>HG166</f>
        <v>2356.0700000000002</v>
      </c>
      <c r="HO166" s="105">
        <f t="shared" si="343"/>
        <v>2356.0700000000002</v>
      </c>
      <c r="HP166" s="105"/>
      <c r="HQ166" s="105"/>
      <c r="HR166" s="105">
        <f>HG166</f>
        <v>2356.0700000000002</v>
      </c>
      <c r="HS166" s="105">
        <f t="shared" si="349"/>
        <v>0</v>
      </c>
      <c r="HT166" s="105"/>
      <c r="HU166" s="105"/>
      <c r="HV166" s="105">
        <f>HV167</f>
        <v>0</v>
      </c>
      <c r="HW166" s="105">
        <f t="shared" si="350"/>
        <v>0</v>
      </c>
      <c r="HX166" s="105"/>
      <c r="HY166" s="105"/>
      <c r="HZ166" s="105">
        <f>HS166</f>
        <v>0</v>
      </c>
      <c r="IA166" s="105">
        <f t="shared" si="351"/>
        <v>0</v>
      </c>
      <c r="IB166" s="105"/>
      <c r="IC166" s="105"/>
      <c r="ID166" s="105">
        <f>HW166</f>
        <v>0</v>
      </c>
      <c r="IE166" s="228"/>
      <c r="IF166" s="141"/>
      <c r="IG166" s="141"/>
      <c r="IH166" s="141"/>
    </row>
    <row r="167" spans="2:242" s="225" customFormat="1" ht="90.75" customHeight="1" x14ac:dyDescent="0.2">
      <c r="B167" s="186" t="s">
        <v>134</v>
      </c>
      <c r="C167" s="226" t="s">
        <v>516</v>
      </c>
      <c r="D167" s="222"/>
      <c r="E167" s="143"/>
      <c r="F167" s="143"/>
      <c r="G167" s="143"/>
      <c r="H167" s="143"/>
      <c r="I167" s="143"/>
      <c r="J167" s="143"/>
      <c r="K167" s="143"/>
      <c r="L167" s="143"/>
      <c r="M167" s="143"/>
      <c r="N167" s="143"/>
      <c r="O167" s="143"/>
      <c r="P167" s="143"/>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68"/>
      <c r="AL167" s="168"/>
      <c r="AM167" s="223"/>
      <c r="AN167" s="223"/>
      <c r="AO167" s="166"/>
      <c r="AP167" s="144"/>
      <c r="AQ167" s="144"/>
      <c r="AR167" s="168"/>
      <c r="AS167" s="144"/>
      <c r="AT167" s="144"/>
      <c r="AU167" s="144"/>
      <c r="AV167" s="144"/>
      <c r="AW167" s="144"/>
      <c r="AX167" s="144"/>
      <c r="AY167" s="144"/>
      <c r="AZ167" s="144"/>
      <c r="BA167" s="144"/>
      <c r="BB167" s="144"/>
      <c r="BC167" s="144"/>
      <c r="BD167" s="144"/>
      <c r="BE167" s="144"/>
      <c r="BF167" s="144"/>
      <c r="BG167" s="144"/>
      <c r="BH167" s="144"/>
      <c r="BI167" s="144"/>
      <c r="BJ167" s="144"/>
      <c r="BK167" s="167"/>
      <c r="BL167" s="168"/>
      <c r="BM167" s="168"/>
      <c r="BN167" s="168"/>
      <c r="BO167" s="168"/>
      <c r="BP167" s="168"/>
      <c r="BQ167" s="168"/>
      <c r="BR167" s="168"/>
      <c r="BS167" s="168"/>
      <c r="BT167" s="168"/>
      <c r="BU167" s="168"/>
      <c r="BV167" s="144"/>
      <c r="BW167" s="144"/>
      <c r="BX167" s="144"/>
      <c r="BY167" s="144"/>
      <c r="BZ167" s="144"/>
      <c r="CA167" s="144"/>
      <c r="CB167" s="144">
        <f>CC167+CD167</f>
        <v>0</v>
      </c>
      <c r="CC167" s="144"/>
      <c r="CD167" s="144"/>
      <c r="CE167" s="168"/>
      <c r="CF167" s="168"/>
      <c r="CG167" s="144"/>
      <c r="CH167" s="144"/>
      <c r="CI167" s="144"/>
      <c r="CJ167" s="144"/>
      <c r="CK167" s="144"/>
      <c r="CL167" s="144"/>
      <c r="CM167" s="144"/>
      <c r="CN167" s="144"/>
      <c r="CO167" s="144"/>
      <c r="CP167" s="144"/>
      <c r="CQ167" s="144"/>
      <c r="CR167" s="144"/>
      <c r="CS167" s="144"/>
      <c r="CT167" s="144">
        <f>CU167+CV167</f>
        <v>45878.74</v>
      </c>
      <c r="CU167" s="144"/>
      <c r="CV167" s="144">
        <f>CY167-CD167</f>
        <v>45878.74</v>
      </c>
      <c r="CW167" s="144">
        <f>CX167+CY167</f>
        <v>45878.74</v>
      </c>
      <c r="CX167" s="144"/>
      <c r="CY167" s="144">
        <v>45878.74</v>
      </c>
      <c r="CZ167" s="144">
        <f>DA167+DB167</f>
        <v>0</v>
      </c>
      <c r="DA167" s="144"/>
      <c r="DB167" s="144"/>
      <c r="DC167" s="144">
        <f>DD167+DE167</f>
        <v>0</v>
      </c>
      <c r="DD167" s="144"/>
      <c r="DE167" s="144">
        <v>0</v>
      </c>
      <c r="DF167" s="144">
        <f>DG167+DH167</f>
        <v>0</v>
      </c>
      <c r="DG167" s="144"/>
      <c r="DH167" s="144">
        <v>0</v>
      </c>
      <c r="DI167" s="144">
        <f>DJ167+DK167</f>
        <v>45878.74</v>
      </c>
      <c r="DJ167" s="144"/>
      <c r="DK167" s="144">
        <f>CY167</f>
        <v>45878.74</v>
      </c>
      <c r="DL167" s="144">
        <f>DM167+DN167</f>
        <v>0</v>
      </c>
      <c r="DM167" s="144"/>
      <c r="DN167" s="144">
        <v>0</v>
      </c>
      <c r="DO167" s="144">
        <f>DP167+DQ167</f>
        <v>0</v>
      </c>
      <c r="DP167" s="144"/>
      <c r="DQ167" s="144">
        <v>0</v>
      </c>
      <c r="DR167" s="144">
        <f>DS167+DT167</f>
        <v>45878.74</v>
      </c>
      <c r="DS167" s="144"/>
      <c r="DT167" s="144">
        <f>DK167-DN167-DQ167</f>
        <v>45878.74</v>
      </c>
      <c r="DU167" s="144">
        <f>DE167</f>
        <v>0</v>
      </c>
      <c r="DV167" s="144"/>
      <c r="DW167" s="144">
        <f>DE167</f>
        <v>0</v>
      </c>
      <c r="DX167" s="144">
        <f>DY167+DZ167</f>
        <v>34170.603999999999</v>
      </c>
      <c r="DY167" s="144"/>
      <c r="DZ167" s="144">
        <v>34170.603999999999</v>
      </c>
      <c r="EA167" s="144"/>
      <c r="EB167" s="144"/>
      <c r="EC167" s="144"/>
      <c r="ED167" s="144"/>
      <c r="EE167" s="144"/>
      <c r="EF167" s="144"/>
      <c r="EG167" s="144">
        <f t="shared" si="318"/>
        <v>0</v>
      </c>
      <c r="EH167" s="144"/>
      <c r="EI167" s="144"/>
      <c r="EJ167" s="144">
        <f>DY167</f>
        <v>0</v>
      </c>
      <c r="EK167" s="144">
        <f>EL167+EN167</f>
        <v>0</v>
      </c>
      <c r="EL167" s="144"/>
      <c r="EM167" s="144"/>
      <c r="EN167" s="144">
        <v>0</v>
      </c>
      <c r="EO167" s="144">
        <f>EP167+ER167</f>
        <v>0</v>
      </c>
      <c r="EP167" s="144"/>
      <c r="EQ167" s="144"/>
      <c r="ER167" s="144">
        <v>0</v>
      </c>
      <c r="ES167" s="164">
        <f>ET167+EV167</f>
        <v>0</v>
      </c>
      <c r="ET167" s="164">
        <f>ED167</f>
        <v>0</v>
      </c>
      <c r="EU167" s="164"/>
      <c r="EV167" s="144">
        <f>EE167+EN167</f>
        <v>0</v>
      </c>
      <c r="EW167" s="144">
        <f>EX167+EY167</f>
        <v>0</v>
      </c>
      <c r="EX167" s="144"/>
      <c r="EY167" s="144">
        <v>0</v>
      </c>
      <c r="EZ167" s="144"/>
      <c r="FA167" s="144"/>
      <c r="FB167" s="144"/>
      <c r="FC167" s="143">
        <f t="shared" si="320"/>
        <v>15079.640020000001</v>
      </c>
      <c r="FD167" s="143"/>
      <c r="FE167" s="143"/>
      <c r="FF167" s="143">
        <f>'[2]2021_2023свод_оконч'!$FF$158</f>
        <v>15079.640020000001</v>
      </c>
      <c r="FG167" s="143">
        <f>FH167+FJ167</f>
        <v>-2.0000001313746907E-5</v>
      </c>
      <c r="FH167" s="143"/>
      <c r="FI167" s="143"/>
      <c r="FJ167" s="143">
        <f>FR167-FF167</f>
        <v>-2.0000001313746907E-5</v>
      </c>
      <c r="FK167" s="143">
        <f>FL167+FN167</f>
        <v>0</v>
      </c>
      <c r="FL167" s="143"/>
      <c r="FM167" s="143"/>
      <c r="FN167" s="143">
        <v>0</v>
      </c>
      <c r="FO167" s="143">
        <f t="shared" si="321"/>
        <v>15079.64</v>
      </c>
      <c r="FP167" s="143"/>
      <c r="FQ167" s="143"/>
      <c r="FR167" s="143">
        <v>15079.64</v>
      </c>
      <c r="FS167" s="90">
        <f t="shared" si="338"/>
        <v>0</v>
      </c>
      <c r="FT167" s="518">
        <f t="shared" si="241"/>
        <v>0</v>
      </c>
      <c r="FU167" s="90">
        <v>0</v>
      </c>
      <c r="FV167" s="518">
        <v>0</v>
      </c>
      <c r="FW167" s="87">
        <f t="shared" si="333"/>
        <v>0</v>
      </c>
      <c r="FX167" s="665">
        <v>0</v>
      </c>
      <c r="FY167" s="90">
        <f t="shared" si="335"/>
        <v>0</v>
      </c>
      <c r="FZ167" s="665">
        <f t="shared" si="322"/>
        <v>0</v>
      </c>
      <c r="GA167" s="90">
        <f t="shared" si="247"/>
        <v>0</v>
      </c>
      <c r="GB167" s="518">
        <f t="shared" si="248"/>
        <v>0</v>
      </c>
      <c r="GC167" s="90"/>
      <c r="GD167" s="518"/>
      <c r="GE167" s="87"/>
      <c r="GF167" s="515"/>
      <c r="GG167" s="87">
        <f t="shared" si="336"/>
        <v>0</v>
      </c>
      <c r="GH167" s="515">
        <f t="shared" si="323"/>
        <v>0</v>
      </c>
      <c r="GI167" s="90">
        <f t="shared" si="243"/>
        <v>15079.640020000001</v>
      </c>
      <c r="GJ167" s="518">
        <f t="shared" si="244"/>
        <v>1</v>
      </c>
      <c r="GK167" s="90">
        <f t="shared" si="337"/>
        <v>0</v>
      </c>
      <c r="GL167" s="518">
        <v>0</v>
      </c>
      <c r="GM167" s="90">
        <f t="shared" si="334"/>
        <v>0</v>
      </c>
      <c r="GN167" s="518">
        <v>0</v>
      </c>
      <c r="GO167" s="90">
        <f>FF167</f>
        <v>15079.640020000001</v>
      </c>
      <c r="GP167" s="518">
        <f t="shared" si="294"/>
        <v>1</v>
      </c>
      <c r="GQ167" s="144"/>
      <c r="GR167" s="144"/>
      <c r="GS167" s="144"/>
      <c r="GT167" s="144"/>
      <c r="GU167" s="144">
        <f t="shared" si="324"/>
        <v>0</v>
      </c>
      <c r="GV167" s="144"/>
      <c r="GW167" s="144"/>
      <c r="GX167" s="144">
        <v>0</v>
      </c>
      <c r="GY167" s="144"/>
      <c r="GZ167" s="144"/>
      <c r="HA167" s="144"/>
      <c r="HB167" s="144"/>
      <c r="HC167" s="144"/>
      <c r="HD167" s="144"/>
      <c r="HE167" s="144"/>
      <c r="HF167" s="144"/>
      <c r="HG167" s="144">
        <f t="shared" si="341"/>
        <v>2356.0700000000002</v>
      </c>
      <c r="HH167" s="144"/>
      <c r="HI167" s="144"/>
      <c r="HJ167" s="144">
        <f>HR167-GX167</f>
        <v>2356.0700000000002</v>
      </c>
      <c r="HK167" s="144">
        <f t="shared" si="342"/>
        <v>2356.0700000000002</v>
      </c>
      <c r="HL167" s="144"/>
      <c r="HM167" s="144"/>
      <c r="HN167" s="144">
        <f>HG167</f>
        <v>2356.0700000000002</v>
      </c>
      <c r="HO167" s="144">
        <f t="shared" si="343"/>
        <v>2356.0700000000002</v>
      </c>
      <c r="HP167" s="144"/>
      <c r="HQ167" s="144"/>
      <c r="HR167" s="144">
        <v>2356.0700000000002</v>
      </c>
      <c r="HS167" s="144">
        <f t="shared" si="349"/>
        <v>0</v>
      </c>
      <c r="HT167" s="144"/>
      <c r="HU167" s="144"/>
      <c r="HV167" s="144">
        <v>0</v>
      </c>
      <c r="HW167" s="144">
        <f t="shared" si="350"/>
        <v>0</v>
      </c>
      <c r="HX167" s="144"/>
      <c r="HY167" s="144"/>
      <c r="HZ167" s="144">
        <f>HS167</f>
        <v>0</v>
      </c>
      <c r="IA167" s="144">
        <f t="shared" si="351"/>
        <v>0</v>
      </c>
      <c r="IB167" s="144"/>
      <c r="IC167" s="144"/>
      <c r="ID167" s="144">
        <f>HW167</f>
        <v>0</v>
      </c>
      <c r="IE167" s="558" t="s">
        <v>272</v>
      </c>
      <c r="IF167" s="145" t="s">
        <v>238</v>
      </c>
      <c r="IG167" s="145"/>
      <c r="IH167" s="145"/>
    </row>
    <row r="168" spans="2:242" s="202" customFormat="1" ht="33" hidden="1" customHeight="1" x14ac:dyDescent="0.25">
      <c r="B168" s="100" t="s">
        <v>273</v>
      </c>
      <c r="C168" s="559" t="s">
        <v>274</v>
      </c>
      <c r="D168" s="102"/>
      <c r="E168" s="103"/>
      <c r="F168" s="103"/>
      <c r="G168" s="103"/>
      <c r="H168" s="103"/>
      <c r="I168" s="103"/>
      <c r="J168" s="103"/>
      <c r="K168" s="103"/>
      <c r="L168" s="103"/>
      <c r="M168" s="103"/>
      <c r="N168" s="103"/>
      <c r="O168" s="103"/>
      <c r="P168" s="103"/>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6"/>
      <c r="AL168" s="106"/>
      <c r="AM168" s="111"/>
      <c r="AN168" s="111"/>
      <c r="AO168" s="109"/>
      <c r="AP168" s="105"/>
      <c r="AQ168" s="105"/>
      <c r="AR168" s="106"/>
      <c r="AS168" s="105"/>
      <c r="AT168" s="105"/>
      <c r="AU168" s="105"/>
      <c r="AV168" s="105"/>
      <c r="AW168" s="105"/>
      <c r="AX168" s="105"/>
      <c r="AY168" s="105"/>
      <c r="AZ168" s="105"/>
      <c r="BA168" s="105"/>
      <c r="BB168" s="105"/>
      <c r="BC168" s="105"/>
      <c r="BD168" s="105"/>
      <c r="BE168" s="105"/>
      <c r="BF168" s="105"/>
      <c r="BG168" s="105"/>
      <c r="BH168" s="105"/>
      <c r="BI168" s="105"/>
      <c r="BJ168" s="105"/>
      <c r="BK168" s="110"/>
      <c r="BL168" s="106"/>
      <c r="BM168" s="106"/>
      <c r="BN168" s="106"/>
      <c r="BO168" s="106"/>
      <c r="BP168" s="106"/>
      <c r="BQ168" s="106"/>
      <c r="BR168" s="106"/>
      <c r="BS168" s="106"/>
      <c r="BT168" s="106"/>
      <c r="BU168" s="106"/>
      <c r="BV168" s="105"/>
      <c r="BW168" s="105"/>
      <c r="BX168" s="105"/>
      <c r="BY168" s="105"/>
      <c r="BZ168" s="105"/>
      <c r="CA168" s="105"/>
      <c r="CB168" s="105">
        <f t="shared" ref="CB168:DB172" si="353">CB169</f>
        <v>27609.446</v>
      </c>
      <c r="CC168" s="105">
        <f t="shared" si="353"/>
        <v>0</v>
      </c>
      <c r="CD168" s="105">
        <f t="shared" si="353"/>
        <v>27609.446</v>
      </c>
      <c r="CE168" s="105">
        <f t="shared" si="353"/>
        <v>0</v>
      </c>
      <c r="CF168" s="105">
        <f t="shared" si="353"/>
        <v>0</v>
      </c>
      <c r="CG168" s="105">
        <f t="shared" si="353"/>
        <v>0</v>
      </c>
      <c r="CH168" s="105">
        <f t="shared" si="353"/>
        <v>0</v>
      </c>
      <c r="CI168" s="105">
        <f t="shared" si="353"/>
        <v>0</v>
      </c>
      <c r="CJ168" s="105">
        <f t="shared" si="353"/>
        <v>0</v>
      </c>
      <c r="CK168" s="105">
        <f t="shared" si="353"/>
        <v>0</v>
      </c>
      <c r="CL168" s="105">
        <f t="shared" si="353"/>
        <v>0</v>
      </c>
      <c r="CM168" s="105">
        <f t="shared" si="353"/>
        <v>0</v>
      </c>
      <c r="CN168" s="105">
        <f t="shared" si="353"/>
        <v>0</v>
      </c>
      <c r="CO168" s="105">
        <f t="shared" si="353"/>
        <v>0</v>
      </c>
      <c r="CP168" s="105">
        <f t="shared" si="353"/>
        <v>0</v>
      </c>
      <c r="CQ168" s="105">
        <f t="shared" si="353"/>
        <v>0</v>
      </c>
      <c r="CR168" s="105">
        <f t="shared" si="353"/>
        <v>0</v>
      </c>
      <c r="CS168" s="105">
        <f t="shared" si="353"/>
        <v>0</v>
      </c>
      <c r="CT168" s="105">
        <f t="shared" si="353"/>
        <v>0</v>
      </c>
      <c r="CU168" s="105">
        <f t="shared" si="353"/>
        <v>0</v>
      </c>
      <c r="CV168" s="105">
        <f t="shared" si="353"/>
        <v>0</v>
      </c>
      <c r="CW168" s="105">
        <f t="shared" si="353"/>
        <v>0</v>
      </c>
      <c r="CX168" s="105">
        <f t="shared" si="353"/>
        <v>0</v>
      </c>
      <c r="CY168" s="105">
        <f t="shared" si="353"/>
        <v>0</v>
      </c>
      <c r="CZ168" s="105">
        <f t="shared" si="353"/>
        <v>0</v>
      </c>
      <c r="DA168" s="105">
        <f t="shared" si="353"/>
        <v>0</v>
      </c>
      <c r="DB168" s="105">
        <f t="shared" si="353"/>
        <v>0</v>
      </c>
      <c r="DC168" s="105"/>
      <c r="DD168" s="105"/>
      <c r="DE168" s="105"/>
      <c r="DF168" s="105">
        <f t="shared" ref="DF168:DT172" si="354">DF169</f>
        <v>0</v>
      </c>
      <c r="DG168" s="105">
        <f t="shared" si="354"/>
        <v>0</v>
      </c>
      <c r="DH168" s="105">
        <f t="shared" si="354"/>
        <v>0</v>
      </c>
      <c r="DI168" s="105">
        <f t="shared" si="354"/>
        <v>0</v>
      </c>
      <c r="DJ168" s="105">
        <f t="shared" si="354"/>
        <v>0</v>
      </c>
      <c r="DK168" s="105">
        <f t="shared" si="354"/>
        <v>0</v>
      </c>
      <c r="DL168" s="105">
        <f t="shared" si="354"/>
        <v>0</v>
      </c>
      <c r="DM168" s="105">
        <f t="shared" si="354"/>
        <v>0</v>
      </c>
      <c r="DN168" s="105">
        <f t="shared" si="354"/>
        <v>0</v>
      </c>
      <c r="DO168" s="105">
        <f t="shared" si="354"/>
        <v>0</v>
      </c>
      <c r="DP168" s="105">
        <f t="shared" si="354"/>
        <v>0</v>
      </c>
      <c r="DQ168" s="105">
        <f t="shared" si="354"/>
        <v>0</v>
      </c>
      <c r="DR168" s="105">
        <f t="shared" si="354"/>
        <v>0</v>
      </c>
      <c r="DS168" s="105">
        <f t="shared" si="354"/>
        <v>0</v>
      </c>
      <c r="DT168" s="105">
        <f t="shared" si="354"/>
        <v>0</v>
      </c>
      <c r="DU168" s="105"/>
      <c r="DV168" s="105"/>
      <c r="DW168" s="105"/>
      <c r="DX168" s="105">
        <f>DX169</f>
        <v>0</v>
      </c>
      <c r="DY168" s="105">
        <f>DY169</f>
        <v>0</v>
      </c>
      <c r="DZ168" s="105">
        <f>DZ169</f>
        <v>0</v>
      </c>
      <c r="EA168" s="105"/>
      <c r="EB168" s="105"/>
      <c r="EC168" s="105"/>
      <c r="ED168" s="105">
        <f>EE168+EF168</f>
        <v>0</v>
      </c>
      <c r="EE168" s="105"/>
      <c r="EF168" s="105">
        <f>EF169</f>
        <v>0</v>
      </c>
      <c r="EG168" s="105">
        <f t="shared" si="318"/>
        <v>0</v>
      </c>
      <c r="EH168" s="105"/>
      <c r="EI168" s="105"/>
      <c r="EJ168" s="105">
        <f>EJ169</f>
        <v>0</v>
      </c>
      <c r="EK168" s="105">
        <f>EK169</f>
        <v>0</v>
      </c>
      <c r="EL168" s="105">
        <f>EL169</f>
        <v>0</v>
      </c>
      <c r="EM168" s="105"/>
      <c r="EN168" s="105">
        <f>EN169</f>
        <v>0</v>
      </c>
      <c r="EO168" s="105">
        <f>EO169</f>
        <v>0</v>
      </c>
      <c r="EP168" s="105">
        <f>EP169</f>
        <v>0</v>
      </c>
      <c r="EQ168" s="105"/>
      <c r="ER168" s="105">
        <f>ER169</f>
        <v>0</v>
      </c>
      <c r="ES168" s="106">
        <f>ES169</f>
        <v>0</v>
      </c>
      <c r="ET168" s="106"/>
      <c r="EU168" s="106"/>
      <c r="EV168" s="105">
        <f>EV169</f>
        <v>0</v>
      </c>
      <c r="EW168" s="105">
        <f>EW169</f>
        <v>0</v>
      </c>
      <c r="EX168" s="105">
        <f>EX169</f>
        <v>0</v>
      </c>
      <c r="EY168" s="105">
        <f>EY169</f>
        <v>0</v>
      </c>
      <c r="EZ168" s="105"/>
      <c r="FA168" s="105"/>
      <c r="FB168" s="105"/>
      <c r="FC168" s="103">
        <f t="shared" si="320"/>
        <v>0</v>
      </c>
      <c r="FD168" s="103"/>
      <c r="FE168" s="103"/>
      <c r="FF168" s="103">
        <f>EY168</f>
        <v>0</v>
      </c>
      <c r="FG168" s="103">
        <f>FG169</f>
        <v>0</v>
      </c>
      <c r="FH168" s="103">
        <f>FH169</f>
        <v>0</v>
      </c>
      <c r="FI168" s="103"/>
      <c r="FJ168" s="103">
        <f>FJ169</f>
        <v>0</v>
      </c>
      <c r="FK168" s="103">
        <f>FK169</f>
        <v>0</v>
      </c>
      <c r="FL168" s="103">
        <f>FL169</f>
        <v>0</v>
      </c>
      <c r="FM168" s="103"/>
      <c r="FN168" s="103">
        <f>FN169</f>
        <v>0</v>
      </c>
      <c r="FO168" s="103">
        <f t="shared" si="321"/>
        <v>0</v>
      </c>
      <c r="FP168" s="103"/>
      <c r="FQ168" s="103"/>
      <c r="FR168" s="103">
        <f>FR169</f>
        <v>0</v>
      </c>
      <c r="FS168" s="629">
        <f t="shared" si="338"/>
        <v>0</v>
      </c>
      <c r="FT168" s="595" t="e">
        <f t="shared" ref="FT168:FT211" si="355">FS168/FC168</f>
        <v>#DIV/0!</v>
      </c>
      <c r="FU168" s="629">
        <v>0</v>
      </c>
      <c r="FV168" s="595" t="e">
        <f t="shared" ref="FV168:FV209" si="356">FU168/FD168</f>
        <v>#DIV/0!</v>
      </c>
      <c r="FW168" s="522">
        <f t="shared" ref="FW168:FW191" si="357">FW416+FW465</f>
        <v>0</v>
      </c>
      <c r="FX168" s="666" t="e">
        <f t="shared" ref="FX168:FX206" si="358">FW168/FE168</f>
        <v>#DIV/0!</v>
      </c>
      <c r="FY168" s="629">
        <f t="shared" ref="FY168:FY191" si="359">FY416+FY465</f>
        <v>0</v>
      </c>
      <c r="FZ168" s="666" t="e">
        <f t="shared" ref="FZ168:FZ211" si="360">FY168/FF168</f>
        <v>#DIV/0!</v>
      </c>
      <c r="GA168" s="629">
        <f t="shared" ref="GA168:GA211" si="361">GC168+GE168+GG168</f>
        <v>0</v>
      </c>
      <c r="GB168" s="595" t="e">
        <f t="shared" ref="GB168:GB211" si="362">GA168/FC168</f>
        <v>#DIV/0!</v>
      </c>
      <c r="GC168" s="629"/>
      <c r="GD168" s="595"/>
      <c r="GE168" s="522"/>
      <c r="GF168" s="514"/>
      <c r="GG168" s="522">
        <f t="shared" ref="GG168:GG191" si="363">GG416+GG465</f>
        <v>0</v>
      </c>
      <c r="GH168" s="514" t="e">
        <f t="shared" ref="GH168:GH211" si="364">GG168/FF168</f>
        <v>#DIV/0!</v>
      </c>
      <c r="GI168" s="629">
        <f t="shared" ref="GI168:GI211" si="365">GK168+GM168+GO168</f>
        <v>0</v>
      </c>
      <c r="GJ168" s="595" t="e">
        <f t="shared" ref="GJ168:GJ211" si="366">GI168/FC168</f>
        <v>#DIV/0!</v>
      </c>
      <c r="GK168" s="629">
        <f t="shared" ref="GK168:GK188" si="367">GK416+GK465</f>
        <v>0</v>
      </c>
      <c r="GL168" s="595" t="e">
        <f t="shared" ref="GL168:GL209" si="368">GK168/FD168</f>
        <v>#DIV/0!</v>
      </c>
      <c r="GM168" s="629">
        <f t="shared" ref="GM168:GM194" si="369">GM416+GM465</f>
        <v>0</v>
      </c>
      <c r="GN168" s="595" t="e">
        <f t="shared" ref="GN168:GN206" si="370">GM168/FE168</f>
        <v>#DIV/0!</v>
      </c>
      <c r="GO168" s="629">
        <f t="shared" ref="GO168:GO194" si="371">GO416+GO465</f>
        <v>0</v>
      </c>
      <c r="GP168" s="595" t="e">
        <f t="shared" ref="GP168:GP206" si="372">GO168/FF168</f>
        <v>#DIV/0!</v>
      </c>
      <c r="GQ168" s="105"/>
      <c r="GR168" s="105"/>
      <c r="GS168" s="105"/>
      <c r="GT168" s="105"/>
      <c r="GU168" s="105">
        <f t="shared" si="324"/>
        <v>17515.72582</v>
      </c>
      <c r="GV168" s="105"/>
      <c r="GW168" s="105"/>
      <c r="GX168" s="105">
        <f>GX169</f>
        <v>17515.72582</v>
      </c>
      <c r="GY168" s="105"/>
      <c r="GZ168" s="105"/>
      <c r="HA168" s="105"/>
      <c r="HB168" s="105"/>
      <c r="HC168" s="105"/>
      <c r="HD168" s="105"/>
      <c r="HE168" s="105"/>
      <c r="HF168" s="105"/>
      <c r="HG168" s="105">
        <f t="shared" si="341"/>
        <v>0</v>
      </c>
      <c r="HH168" s="105"/>
      <c r="HI168" s="105"/>
      <c r="HJ168" s="105">
        <f>HC168</f>
        <v>0</v>
      </c>
      <c r="HK168" s="105">
        <f t="shared" si="342"/>
        <v>0</v>
      </c>
      <c r="HL168" s="105"/>
      <c r="HM168" s="105"/>
      <c r="HN168" s="105">
        <f>HN169</f>
        <v>0</v>
      </c>
      <c r="HO168" s="105">
        <f t="shared" si="343"/>
        <v>17515.72582</v>
      </c>
      <c r="HP168" s="105"/>
      <c r="HQ168" s="105"/>
      <c r="HR168" s="105">
        <f>HR169</f>
        <v>17515.72582</v>
      </c>
      <c r="HS168" s="105">
        <f t="shared" si="349"/>
        <v>91993.9</v>
      </c>
      <c r="HT168" s="105"/>
      <c r="HU168" s="105"/>
      <c r="HV168" s="105">
        <f>HV169</f>
        <v>91993.9</v>
      </c>
      <c r="HW168" s="105">
        <f t="shared" si="350"/>
        <v>0</v>
      </c>
      <c r="HX168" s="105"/>
      <c r="HY168" s="105"/>
      <c r="HZ168" s="105">
        <f>HZ169</f>
        <v>0</v>
      </c>
      <c r="IA168" s="105">
        <f t="shared" si="351"/>
        <v>91993.9</v>
      </c>
      <c r="IB168" s="105"/>
      <c r="IC168" s="105"/>
      <c r="ID168" s="105">
        <f>ID169</f>
        <v>91993.9</v>
      </c>
      <c r="IE168" s="228"/>
      <c r="IF168" s="141"/>
      <c r="IG168" s="141"/>
      <c r="IH168" s="141"/>
    </row>
    <row r="169" spans="2:242" s="202" customFormat="1" ht="219" hidden="1" customHeight="1" x14ac:dyDescent="0.25">
      <c r="B169" s="100" t="s">
        <v>134</v>
      </c>
      <c r="C169" s="226" t="s">
        <v>275</v>
      </c>
      <c r="D169" s="102"/>
      <c r="E169" s="103"/>
      <c r="F169" s="103"/>
      <c r="G169" s="103"/>
      <c r="H169" s="103"/>
      <c r="I169" s="103"/>
      <c r="J169" s="103"/>
      <c r="K169" s="103"/>
      <c r="L169" s="103"/>
      <c r="M169" s="103"/>
      <c r="N169" s="103"/>
      <c r="O169" s="103"/>
      <c r="P169" s="103"/>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6"/>
      <c r="AL169" s="106"/>
      <c r="AM169" s="111"/>
      <c r="AN169" s="111"/>
      <c r="AO169" s="109"/>
      <c r="AP169" s="105"/>
      <c r="AQ169" s="105"/>
      <c r="AR169" s="106"/>
      <c r="AS169" s="105"/>
      <c r="AT169" s="105"/>
      <c r="AU169" s="105"/>
      <c r="AV169" s="105"/>
      <c r="AW169" s="105"/>
      <c r="AX169" s="105"/>
      <c r="AY169" s="105"/>
      <c r="AZ169" s="105"/>
      <c r="BA169" s="105"/>
      <c r="BB169" s="105"/>
      <c r="BC169" s="105"/>
      <c r="BD169" s="105"/>
      <c r="BE169" s="105"/>
      <c r="BF169" s="105"/>
      <c r="BG169" s="105"/>
      <c r="BH169" s="105"/>
      <c r="BI169" s="105"/>
      <c r="BJ169" s="105"/>
      <c r="BK169" s="110"/>
      <c r="BL169" s="106"/>
      <c r="BM169" s="106"/>
      <c r="BN169" s="106"/>
      <c r="BO169" s="106"/>
      <c r="BP169" s="106"/>
      <c r="BQ169" s="106"/>
      <c r="BR169" s="106"/>
      <c r="BS169" s="106"/>
      <c r="BT169" s="106"/>
      <c r="BU169" s="106"/>
      <c r="BV169" s="105"/>
      <c r="BW169" s="105"/>
      <c r="BX169" s="105"/>
      <c r="BY169" s="105"/>
      <c r="BZ169" s="105"/>
      <c r="CA169" s="105"/>
      <c r="CB169" s="105">
        <f>CC169+CD169</f>
        <v>27609.446</v>
      </c>
      <c r="CC169" s="105"/>
      <c r="CD169" s="105">
        <v>27609.446</v>
      </c>
      <c r="CE169" s="106"/>
      <c r="CF169" s="106"/>
      <c r="CG169" s="105"/>
      <c r="CH169" s="105"/>
      <c r="CI169" s="105"/>
      <c r="CJ169" s="105"/>
      <c r="CK169" s="105"/>
      <c r="CL169" s="105"/>
      <c r="CM169" s="105"/>
      <c r="CN169" s="105"/>
      <c r="CO169" s="105"/>
      <c r="CP169" s="105"/>
      <c r="CQ169" s="105"/>
      <c r="CR169" s="105"/>
      <c r="CS169" s="105"/>
      <c r="CT169" s="105"/>
      <c r="CU169" s="105"/>
      <c r="CV169" s="105"/>
      <c r="CW169" s="105">
        <f>CX169+CY169</f>
        <v>0</v>
      </c>
      <c r="CX169" s="105"/>
      <c r="CY169" s="105">
        <v>0</v>
      </c>
      <c r="CZ169" s="105">
        <f>DA169+DB169</f>
        <v>0</v>
      </c>
      <c r="DA169" s="105"/>
      <c r="DB169" s="105"/>
      <c r="DC169" s="105"/>
      <c r="DD169" s="105"/>
      <c r="DE169" s="105"/>
      <c r="DF169" s="105">
        <f>DG169+DH169</f>
        <v>0</v>
      </c>
      <c r="DG169" s="105"/>
      <c r="DH169" s="105">
        <f>DK169-CY169</f>
        <v>0</v>
      </c>
      <c r="DI169" s="105">
        <f>DJ169+DK169</f>
        <v>0</v>
      </c>
      <c r="DJ169" s="105"/>
      <c r="DK169" s="105">
        <v>0</v>
      </c>
      <c r="DL169" s="105">
        <f>DM169+DN169</f>
        <v>0</v>
      </c>
      <c r="DM169" s="105"/>
      <c r="DN169" s="105">
        <v>0</v>
      </c>
      <c r="DO169" s="105">
        <f>DP169+DQ169</f>
        <v>0</v>
      </c>
      <c r="DP169" s="105"/>
      <c r="DQ169" s="105"/>
      <c r="DR169" s="105">
        <f>DS169+DT169</f>
        <v>0</v>
      </c>
      <c r="DS169" s="105"/>
      <c r="DT169" s="105">
        <f>DK169-DN169-DQ169</f>
        <v>0</v>
      </c>
      <c r="DU169" s="105"/>
      <c r="DV169" s="105"/>
      <c r="DW169" s="105"/>
      <c r="DX169" s="105">
        <f>DY169+DZ169</f>
        <v>0</v>
      </c>
      <c r="DY169" s="105"/>
      <c r="DZ169" s="105"/>
      <c r="EA169" s="105"/>
      <c r="EB169" s="105"/>
      <c r="EC169" s="105"/>
      <c r="ED169" s="105">
        <f>EE169+EF169</f>
        <v>0</v>
      </c>
      <c r="EE169" s="105"/>
      <c r="EF169" s="105">
        <f>EJ169</f>
        <v>0</v>
      </c>
      <c r="EG169" s="105">
        <f t="shared" si="318"/>
        <v>0</v>
      </c>
      <c r="EH169" s="105"/>
      <c r="EI169" s="105"/>
      <c r="EJ169" s="105">
        <v>0</v>
      </c>
      <c r="EK169" s="105">
        <f>EL169+EN169</f>
        <v>0</v>
      </c>
      <c r="EL169" s="105"/>
      <c r="EM169" s="105"/>
      <c r="EN169" s="105"/>
      <c r="EO169" s="105">
        <f>EP169+ER169</f>
        <v>0</v>
      </c>
      <c r="EP169" s="105"/>
      <c r="EQ169" s="105"/>
      <c r="ER169" s="105">
        <f>EV169-EJ169</f>
        <v>0</v>
      </c>
      <c r="ES169" s="181">
        <f>ET169+EV169</f>
        <v>0</v>
      </c>
      <c r="ET169" s="181">
        <v>0</v>
      </c>
      <c r="EU169" s="181"/>
      <c r="EV169" s="105">
        <f>FR169-EJ169</f>
        <v>0</v>
      </c>
      <c r="EW169" s="105">
        <f>EX169+EY169</f>
        <v>0</v>
      </c>
      <c r="EX169" s="105"/>
      <c r="EY169" s="105"/>
      <c r="EZ169" s="105"/>
      <c r="FA169" s="105"/>
      <c r="FB169" s="105"/>
      <c r="FC169" s="103">
        <f t="shared" si="320"/>
        <v>0</v>
      </c>
      <c r="FD169" s="103"/>
      <c r="FE169" s="103"/>
      <c r="FF169" s="103">
        <f>EY169</f>
        <v>0</v>
      </c>
      <c r="FG169" s="103">
        <f>FH169+FJ169</f>
        <v>0</v>
      </c>
      <c r="FH169" s="103"/>
      <c r="FI169" s="103"/>
      <c r="FJ169" s="103"/>
      <c r="FK169" s="103">
        <f>FL169+FN169</f>
        <v>0</v>
      </c>
      <c r="FL169" s="103"/>
      <c r="FM169" s="103"/>
      <c r="FN169" s="103">
        <f>FR169-FF169</f>
        <v>0</v>
      </c>
      <c r="FO169" s="103">
        <f t="shared" si="321"/>
        <v>0</v>
      </c>
      <c r="FP169" s="103"/>
      <c r="FQ169" s="103"/>
      <c r="FR169" s="103">
        <v>0</v>
      </c>
      <c r="FS169" s="629">
        <f t="shared" si="338"/>
        <v>0</v>
      </c>
      <c r="FT169" s="595" t="e">
        <f t="shared" si="355"/>
        <v>#DIV/0!</v>
      </c>
      <c r="FU169" s="629">
        <v>0</v>
      </c>
      <c r="FV169" s="595" t="e">
        <f t="shared" si="356"/>
        <v>#DIV/0!</v>
      </c>
      <c r="FW169" s="522">
        <f t="shared" si="357"/>
        <v>0</v>
      </c>
      <c r="FX169" s="666" t="e">
        <f t="shared" si="358"/>
        <v>#DIV/0!</v>
      </c>
      <c r="FY169" s="629">
        <f t="shared" si="359"/>
        <v>0</v>
      </c>
      <c r="FZ169" s="666" t="e">
        <f t="shared" si="360"/>
        <v>#DIV/0!</v>
      </c>
      <c r="GA169" s="629">
        <f t="shared" si="361"/>
        <v>0</v>
      </c>
      <c r="GB169" s="595" t="e">
        <f t="shared" si="362"/>
        <v>#DIV/0!</v>
      </c>
      <c r="GC169" s="629"/>
      <c r="GD169" s="595"/>
      <c r="GE169" s="522"/>
      <c r="GF169" s="514"/>
      <c r="GG169" s="522">
        <f t="shared" si="363"/>
        <v>0</v>
      </c>
      <c r="GH169" s="514" t="e">
        <f t="shared" si="364"/>
        <v>#DIV/0!</v>
      </c>
      <c r="GI169" s="629">
        <f t="shared" si="365"/>
        <v>0</v>
      </c>
      <c r="GJ169" s="595" t="e">
        <f t="shared" si="366"/>
        <v>#DIV/0!</v>
      </c>
      <c r="GK169" s="629">
        <f t="shared" si="367"/>
        <v>0</v>
      </c>
      <c r="GL169" s="595" t="e">
        <f t="shared" si="368"/>
        <v>#DIV/0!</v>
      </c>
      <c r="GM169" s="629">
        <f t="shared" si="369"/>
        <v>0</v>
      </c>
      <c r="GN169" s="595" t="e">
        <f t="shared" si="370"/>
        <v>#DIV/0!</v>
      </c>
      <c r="GO169" s="629">
        <f t="shared" si="371"/>
        <v>0</v>
      </c>
      <c r="GP169" s="595" t="e">
        <f t="shared" si="372"/>
        <v>#DIV/0!</v>
      </c>
      <c r="GQ169" s="105"/>
      <c r="GR169" s="105"/>
      <c r="GS169" s="105"/>
      <c r="GT169" s="105"/>
      <c r="GU169" s="105">
        <f t="shared" si="324"/>
        <v>17515.72582</v>
      </c>
      <c r="GV169" s="105"/>
      <c r="GW169" s="105"/>
      <c r="GX169" s="105">
        <f>17305.72582+210</f>
        <v>17515.72582</v>
      </c>
      <c r="GY169" s="105"/>
      <c r="GZ169" s="105"/>
      <c r="HA169" s="105"/>
      <c r="HB169" s="105"/>
      <c r="HC169" s="105"/>
      <c r="HD169" s="105"/>
      <c r="HE169" s="105"/>
      <c r="HF169" s="105"/>
      <c r="HG169" s="105">
        <f t="shared" si="341"/>
        <v>0</v>
      </c>
      <c r="HH169" s="105"/>
      <c r="HI169" s="105"/>
      <c r="HJ169" s="105">
        <f>HC169</f>
        <v>0</v>
      </c>
      <c r="HK169" s="105">
        <f t="shared" si="342"/>
        <v>0</v>
      </c>
      <c r="HL169" s="105"/>
      <c r="HM169" s="105"/>
      <c r="HN169" s="105">
        <f>HR169-GX169</f>
        <v>0</v>
      </c>
      <c r="HO169" s="105">
        <f t="shared" si="343"/>
        <v>17515.72582</v>
      </c>
      <c r="HP169" s="105"/>
      <c r="HQ169" s="105"/>
      <c r="HR169" s="105">
        <f>GX169</f>
        <v>17515.72582</v>
      </c>
      <c r="HS169" s="105">
        <f t="shared" si="349"/>
        <v>91993.9</v>
      </c>
      <c r="HT169" s="105"/>
      <c r="HU169" s="105"/>
      <c r="HV169" s="105">
        <v>91993.9</v>
      </c>
      <c r="HW169" s="105">
        <f t="shared" si="350"/>
        <v>0</v>
      </c>
      <c r="HX169" s="105"/>
      <c r="HY169" s="105"/>
      <c r="HZ169" s="105">
        <f>ID169-HV169</f>
        <v>0</v>
      </c>
      <c r="IA169" s="105">
        <f t="shared" si="351"/>
        <v>91993.9</v>
      </c>
      <c r="IB169" s="105"/>
      <c r="IC169" s="105"/>
      <c r="ID169" s="105">
        <f>HV169</f>
        <v>91993.9</v>
      </c>
      <c r="IE169" s="199" t="s">
        <v>276</v>
      </c>
      <c r="IF169" s="141"/>
      <c r="IG169" s="141"/>
      <c r="IH169" s="141"/>
    </row>
    <row r="170" spans="2:242" s="202" customFormat="1" ht="33" hidden="1" customHeight="1" x14ac:dyDescent="0.25">
      <c r="B170" s="100" t="s">
        <v>273</v>
      </c>
      <c r="C170" s="559" t="s">
        <v>271</v>
      </c>
      <c r="D170" s="102"/>
      <c r="E170" s="103"/>
      <c r="F170" s="103"/>
      <c r="G170" s="103"/>
      <c r="H170" s="103"/>
      <c r="I170" s="103"/>
      <c r="J170" s="103"/>
      <c r="K170" s="103"/>
      <c r="L170" s="103"/>
      <c r="M170" s="103"/>
      <c r="N170" s="103"/>
      <c r="O170" s="103"/>
      <c r="P170" s="103"/>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6"/>
      <c r="AL170" s="106"/>
      <c r="AM170" s="111"/>
      <c r="AN170" s="111"/>
      <c r="AO170" s="109"/>
      <c r="AP170" s="105"/>
      <c r="AQ170" s="105"/>
      <c r="AR170" s="106"/>
      <c r="AS170" s="105"/>
      <c r="AT170" s="105"/>
      <c r="AU170" s="105"/>
      <c r="AV170" s="105"/>
      <c r="AW170" s="105"/>
      <c r="AX170" s="105"/>
      <c r="AY170" s="105"/>
      <c r="AZ170" s="105"/>
      <c r="BA170" s="105"/>
      <c r="BB170" s="105"/>
      <c r="BC170" s="105"/>
      <c r="BD170" s="105"/>
      <c r="BE170" s="105"/>
      <c r="BF170" s="105"/>
      <c r="BG170" s="105"/>
      <c r="BH170" s="105"/>
      <c r="BI170" s="105"/>
      <c r="BJ170" s="105"/>
      <c r="BK170" s="110"/>
      <c r="BL170" s="106"/>
      <c r="BM170" s="106"/>
      <c r="BN170" s="106"/>
      <c r="BO170" s="106"/>
      <c r="BP170" s="106"/>
      <c r="BQ170" s="106"/>
      <c r="BR170" s="106"/>
      <c r="BS170" s="106"/>
      <c r="BT170" s="106"/>
      <c r="BU170" s="106"/>
      <c r="BV170" s="105"/>
      <c r="BW170" s="105"/>
      <c r="BX170" s="105"/>
      <c r="BY170" s="105"/>
      <c r="BZ170" s="105"/>
      <c r="CA170" s="105"/>
      <c r="CB170" s="105">
        <f t="shared" si="353"/>
        <v>0</v>
      </c>
      <c r="CC170" s="105">
        <f t="shared" si="353"/>
        <v>0</v>
      </c>
      <c r="CD170" s="105">
        <f t="shared" si="353"/>
        <v>0</v>
      </c>
      <c r="CE170" s="105">
        <f t="shared" si="353"/>
        <v>0</v>
      </c>
      <c r="CF170" s="105">
        <f t="shared" si="353"/>
        <v>0</v>
      </c>
      <c r="CG170" s="105">
        <f t="shared" si="353"/>
        <v>0</v>
      </c>
      <c r="CH170" s="105">
        <f t="shared" si="353"/>
        <v>0</v>
      </c>
      <c r="CI170" s="105">
        <f t="shared" si="353"/>
        <v>0</v>
      </c>
      <c r="CJ170" s="105">
        <f t="shared" si="353"/>
        <v>0</v>
      </c>
      <c r="CK170" s="105">
        <f t="shared" si="353"/>
        <v>0</v>
      </c>
      <c r="CL170" s="105">
        <f t="shared" si="353"/>
        <v>0</v>
      </c>
      <c r="CM170" s="105">
        <f t="shared" si="353"/>
        <v>0</v>
      </c>
      <c r="CN170" s="105">
        <f t="shared" si="353"/>
        <v>0</v>
      </c>
      <c r="CO170" s="105">
        <f t="shared" si="353"/>
        <v>0</v>
      </c>
      <c r="CP170" s="105">
        <f t="shared" si="353"/>
        <v>0</v>
      </c>
      <c r="CQ170" s="105">
        <f t="shared" si="353"/>
        <v>0</v>
      </c>
      <c r="CR170" s="105">
        <f t="shared" si="353"/>
        <v>0</v>
      </c>
      <c r="CS170" s="105">
        <f t="shared" si="353"/>
        <v>0</v>
      </c>
      <c r="CT170" s="105">
        <f t="shared" si="353"/>
        <v>0</v>
      </c>
      <c r="CU170" s="105">
        <f t="shared" si="353"/>
        <v>0</v>
      </c>
      <c r="CV170" s="105">
        <f t="shared" si="353"/>
        <v>0</v>
      </c>
      <c r="CW170" s="105">
        <f t="shared" si="353"/>
        <v>0</v>
      </c>
      <c r="CX170" s="105">
        <f t="shared" si="353"/>
        <v>0</v>
      </c>
      <c r="CY170" s="105">
        <f t="shared" si="353"/>
        <v>0</v>
      </c>
      <c r="CZ170" s="105">
        <f t="shared" si="353"/>
        <v>0</v>
      </c>
      <c r="DA170" s="105">
        <f t="shared" si="353"/>
        <v>0</v>
      </c>
      <c r="DB170" s="105">
        <f t="shared" si="353"/>
        <v>0</v>
      </c>
      <c r="DC170" s="105"/>
      <c r="DD170" s="105"/>
      <c r="DE170" s="105"/>
      <c r="DF170" s="105">
        <f t="shared" si="354"/>
        <v>0</v>
      </c>
      <c r="DG170" s="105">
        <f t="shared" si="354"/>
        <v>0</v>
      </c>
      <c r="DH170" s="105">
        <f t="shared" si="354"/>
        <v>0</v>
      </c>
      <c r="DI170" s="105">
        <f t="shared" si="354"/>
        <v>0</v>
      </c>
      <c r="DJ170" s="105">
        <f t="shared" si="354"/>
        <v>0</v>
      </c>
      <c r="DK170" s="105">
        <f t="shared" si="354"/>
        <v>0</v>
      </c>
      <c r="DL170" s="105">
        <f t="shared" si="354"/>
        <v>0</v>
      </c>
      <c r="DM170" s="105">
        <f t="shared" si="354"/>
        <v>0</v>
      </c>
      <c r="DN170" s="105">
        <f t="shared" si="354"/>
        <v>0</v>
      </c>
      <c r="DO170" s="105">
        <f t="shared" si="354"/>
        <v>0</v>
      </c>
      <c r="DP170" s="105">
        <f t="shared" si="354"/>
        <v>0</v>
      </c>
      <c r="DQ170" s="105">
        <f t="shared" si="354"/>
        <v>0</v>
      </c>
      <c r="DR170" s="105">
        <f t="shared" si="354"/>
        <v>0</v>
      </c>
      <c r="DS170" s="105">
        <f t="shared" si="354"/>
        <v>0</v>
      </c>
      <c r="DT170" s="105">
        <f t="shared" si="354"/>
        <v>0</v>
      </c>
      <c r="DU170" s="105"/>
      <c r="DV170" s="105"/>
      <c r="DW170" s="105"/>
      <c r="DX170" s="105">
        <f>DX171</f>
        <v>0</v>
      </c>
      <c r="DY170" s="105">
        <f>DY171</f>
        <v>0</v>
      </c>
      <c r="DZ170" s="105">
        <f>DZ171</f>
        <v>0</v>
      </c>
      <c r="EA170" s="105"/>
      <c r="EB170" s="105"/>
      <c r="EC170" s="105"/>
      <c r="ED170" s="105">
        <f>EE170+EF170</f>
        <v>0</v>
      </c>
      <c r="EE170" s="105"/>
      <c r="EF170" s="105">
        <f>EF171</f>
        <v>0</v>
      </c>
      <c r="EG170" s="105">
        <f t="shared" si="318"/>
        <v>0</v>
      </c>
      <c r="EH170" s="105"/>
      <c r="EI170" s="105"/>
      <c r="EJ170" s="105">
        <f>EJ171</f>
        <v>0</v>
      </c>
      <c r="EK170" s="105">
        <f>EK171</f>
        <v>0</v>
      </c>
      <c r="EL170" s="105">
        <f>EL171</f>
        <v>0</v>
      </c>
      <c r="EM170" s="105"/>
      <c r="EN170" s="105">
        <f>EN171</f>
        <v>0</v>
      </c>
      <c r="EO170" s="105">
        <f>EO171</f>
        <v>0</v>
      </c>
      <c r="EP170" s="105">
        <f>EP171</f>
        <v>0</v>
      </c>
      <c r="EQ170" s="105"/>
      <c r="ER170" s="105">
        <f>ER171</f>
        <v>0</v>
      </c>
      <c r="ES170" s="106">
        <f>ES171</f>
        <v>0</v>
      </c>
      <c r="ET170" s="106"/>
      <c r="EU170" s="106"/>
      <c r="EV170" s="105">
        <f>EV171</f>
        <v>0</v>
      </c>
      <c r="EW170" s="105">
        <f>EW171</f>
        <v>0</v>
      </c>
      <c r="EX170" s="105">
        <f>EX171</f>
        <v>0</v>
      </c>
      <c r="EY170" s="105">
        <f>EY171</f>
        <v>0</v>
      </c>
      <c r="EZ170" s="105"/>
      <c r="FA170" s="105"/>
      <c r="FB170" s="105"/>
      <c r="FC170" s="103">
        <f t="shared" si="320"/>
        <v>0</v>
      </c>
      <c r="FD170" s="103"/>
      <c r="FE170" s="103"/>
      <c r="FF170" s="103">
        <f>EY170</f>
        <v>0</v>
      </c>
      <c r="FG170" s="103">
        <f>FG171</f>
        <v>0</v>
      </c>
      <c r="FH170" s="103">
        <f>FH171</f>
        <v>0</v>
      </c>
      <c r="FI170" s="103"/>
      <c r="FJ170" s="103">
        <f>FJ171</f>
        <v>0</v>
      </c>
      <c r="FK170" s="103">
        <f>FK171</f>
        <v>0</v>
      </c>
      <c r="FL170" s="103">
        <f>FL171</f>
        <v>0</v>
      </c>
      <c r="FM170" s="103"/>
      <c r="FN170" s="103">
        <f>FN171</f>
        <v>0</v>
      </c>
      <c r="FO170" s="103">
        <f t="shared" si="321"/>
        <v>0</v>
      </c>
      <c r="FP170" s="103"/>
      <c r="FQ170" s="103"/>
      <c r="FR170" s="103">
        <f>FG170</f>
        <v>0</v>
      </c>
      <c r="FS170" s="629">
        <f t="shared" si="338"/>
        <v>0</v>
      </c>
      <c r="FT170" s="595" t="e">
        <f t="shared" si="355"/>
        <v>#DIV/0!</v>
      </c>
      <c r="FU170" s="629">
        <v>0</v>
      </c>
      <c r="FV170" s="595" t="e">
        <f t="shared" si="356"/>
        <v>#DIV/0!</v>
      </c>
      <c r="FW170" s="522">
        <f t="shared" si="357"/>
        <v>0</v>
      </c>
      <c r="FX170" s="666" t="e">
        <f t="shared" si="358"/>
        <v>#DIV/0!</v>
      </c>
      <c r="FY170" s="629">
        <f t="shared" si="359"/>
        <v>0</v>
      </c>
      <c r="FZ170" s="666" t="e">
        <f t="shared" si="360"/>
        <v>#DIV/0!</v>
      </c>
      <c r="GA170" s="629">
        <f t="shared" si="361"/>
        <v>0</v>
      </c>
      <c r="GB170" s="595" t="e">
        <f t="shared" si="362"/>
        <v>#DIV/0!</v>
      </c>
      <c r="GC170" s="629"/>
      <c r="GD170" s="595"/>
      <c r="GE170" s="522"/>
      <c r="GF170" s="514"/>
      <c r="GG170" s="522">
        <f t="shared" si="363"/>
        <v>0</v>
      </c>
      <c r="GH170" s="514" t="e">
        <f t="shared" si="364"/>
        <v>#DIV/0!</v>
      </c>
      <c r="GI170" s="629">
        <f t="shared" si="365"/>
        <v>0</v>
      </c>
      <c r="GJ170" s="595" t="e">
        <f t="shared" si="366"/>
        <v>#DIV/0!</v>
      </c>
      <c r="GK170" s="629">
        <f t="shared" si="367"/>
        <v>0</v>
      </c>
      <c r="GL170" s="595" t="e">
        <f t="shared" si="368"/>
        <v>#DIV/0!</v>
      </c>
      <c r="GM170" s="629">
        <f t="shared" si="369"/>
        <v>0</v>
      </c>
      <c r="GN170" s="595" t="e">
        <f t="shared" si="370"/>
        <v>#DIV/0!</v>
      </c>
      <c r="GO170" s="629">
        <f t="shared" si="371"/>
        <v>0</v>
      </c>
      <c r="GP170" s="595" t="e">
        <f t="shared" si="372"/>
        <v>#DIV/0!</v>
      </c>
      <c r="GQ170" s="105"/>
      <c r="GR170" s="105"/>
      <c r="GS170" s="105"/>
      <c r="GT170" s="105"/>
      <c r="GU170" s="105">
        <f t="shared" si="324"/>
        <v>0</v>
      </c>
      <c r="GV170" s="105"/>
      <c r="GW170" s="105"/>
      <c r="GX170" s="105">
        <f>FO170</f>
        <v>0</v>
      </c>
      <c r="GY170" s="105"/>
      <c r="GZ170" s="105"/>
      <c r="HA170" s="105"/>
      <c r="HB170" s="105"/>
      <c r="HC170" s="105"/>
      <c r="HD170" s="105"/>
      <c r="HE170" s="105"/>
      <c r="HF170" s="105"/>
      <c r="HG170" s="105">
        <f t="shared" si="341"/>
        <v>0</v>
      </c>
      <c r="HH170" s="105"/>
      <c r="HI170" s="105"/>
      <c r="HJ170" s="105">
        <f>HC170</f>
        <v>0</v>
      </c>
      <c r="HK170" s="105">
        <f t="shared" si="342"/>
        <v>0</v>
      </c>
      <c r="HL170" s="105"/>
      <c r="HM170" s="105"/>
      <c r="HN170" s="105">
        <f>HG170</f>
        <v>0</v>
      </c>
      <c r="HO170" s="105">
        <f t="shared" si="343"/>
        <v>0</v>
      </c>
      <c r="HP170" s="105"/>
      <c r="HQ170" s="105"/>
      <c r="HR170" s="105">
        <f>HG170</f>
        <v>0</v>
      </c>
      <c r="HS170" s="105">
        <f t="shared" si="349"/>
        <v>0</v>
      </c>
      <c r="HT170" s="105"/>
      <c r="HU170" s="105"/>
      <c r="HV170" s="105">
        <f>HO170</f>
        <v>0</v>
      </c>
      <c r="HW170" s="105">
        <f t="shared" si="350"/>
        <v>0</v>
      </c>
      <c r="HX170" s="105"/>
      <c r="HY170" s="105"/>
      <c r="HZ170" s="105">
        <f>HS170</f>
        <v>0</v>
      </c>
      <c r="IA170" s="105">
        <f t="shared" si="351"/>
        <v>0</v>
      </c>
      <c r="IB170" s="105"/>
      <c r="IC170" s="105"/>
      <c r="ID170" s="105">
        <f>HW170</f>
        <v>0</v>
      </c>
      <c r="IE170" s="228"/>
      <c r="IF170" s="141"/>
      <c r="IG170" s="141"/>
      <c r="IH170" s="141"/>
    </row>
    <row r="171" spans="2:242" s="202" customFormat="1" ht="66.75" hidden="1" customHeight="1" x14ac:dyDescent="0.25">
      <c r="B171" s="100" t="s">
        <v>134</v>
      </c>
      <c r="C171" s="562" t="s">
        <v>277</v>
      </c>
      <c r="D171" s="102"/>
      <c r="E171" s="103"/>
      <c r="F171" s="103"/>
      <c r="G171" s="103"/>
      <c r="H171" s="103"/>
      <c r="I171" s="103"/>
      <c r="J171" s="103"/>
      <c r="K171" s="103"/>
      <c r="L171" s="103"/>
      <c r="M171" s="103"/>
      <c r="N171" s="103"/>
      <c r="O171" s="103"/>
      <c r="P171" s="103"/>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6"/>
      <c r="AL171" s="106"/>
      <c r="AM171" s="111"/>
      <c r="AN171" s="111"/>
      <c r="AO171" s="109"/>
      <c r="AP171" s="105"/>
      <c r="AQ171" s="105"/>
      <c r="AR171" s="106"/>
      <c r="AS171" s="105"/>
      <c r="AT171" s="105"/>
      <c r="AU171" s="105"/>
      <c r="AV171" s="105"/>
      <c r="AW171" s="105"/>
      <c r="AX171" s="105"/>
      <c r="AY171" s="105"/>
      <c r="AZ171" s="105"/>
      <c r="BA171" s="105"/>
      <c r="BB171" s="105"/>
      <c r="BC171" s="105"/>
      <c r="BD171" s="105"/>
      <c r="BE171" s="105"/>
      <c r="BF171" s="105"/>
      <c r="BG171" s="105"/>
      <c r="BH171" s="105"/>
      <c r="BI171" s="105"/>
      <c r="BJ171" s="105"/>
      <c r="BK171" s="110"/>
      <c r="BL171" s="106"/>
      <c r="BM171" s="106"/>
      <c r="BN171" s="106"/>
      <c r="BO171" s="106"/>
      <c r="BP171" s="106"/>
      <c r="BQ171" s="106"/>
      <c r="BR171" s="106"/>
      <c r="BS171" s="106"/>
      <c r="BT171" s="106"/>
      <c r="BU171" s="106"/>
      <c r="BV171" s="105"/>
      <c r="BW171" s="105"/>
      <c r="BX171" s="105"/>
      <c r="BY171" s="105"/>
      <c r="BZ171" s="105"/>
      <c r="CA171" s="105"/>
      <c r="CB171" s="105"/>
      <c r="CC171" s="105"/>
      <c r="CD171" s="105"/>
      <c r="CE171" s="106"/>
      <c r="CF171" s="106"/>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v>0</v>
      </c>
      <c r="EK171" s="105"/>
      <c r="EL171" s="105"/>
      <c r="EM171" s="105"/>
      <c r="EN171" s="105"/>
      <c r="EO171" s="105">
        <f>ER171</f>
        <v>0</v>
      </c>
      <c r="EP171" s="105"/>
      <c r="EQ171" s="105"/>
      <c r="ER171" s="105">
        <f>EV171-EJ171</f>
        <v>0</v>
      </c>
      <c r="ES171" s="181">
        <f>ET171+EV171</f>
        <v>0</v>
      </c>
      <c r="ET171" s="181">
        <v>0</v>
      </c>
      <c r="EU171" s="181"/>
      <c r="EV171" s="105"/>
      <c r="EW171" s="105"/>
      <c r="EX171" s="105"/>
      <c r="EY171" s="105"/>
      <c r="EZ171" s="105"/>
      <c r="FA171" s="105"/>
      <c r="FB171" s="105"/>
      <c r="FC171" s="103"/>
      <c r="FD171" s="103"/>
      <c r="FE171" s="103"/>
      <c r="FF171" s="103"/>
      <c r="FG171" s="103"/>
      <c r="FH171" s="103"/>
      <c r="FI171" s="103"/>
      <c r="FJ171" s="103"/>
      <c r="FK171" s="103">
        <f>FN171</f>
        <v>0</v>
      </c>
      <c r="FL171" s="103"/>
      <c r="FM171" s="103"/>
      <c r="FN171" s="103">
        <f>FR171</f>
        <v>0</v>
      </c>
      <c r="FO171" s="103"/>
      <c r="FP171" s="103"/>
      <c r="FQ171" s="103"/>
      <c r="FR171" s="103"/>
      <c r="FS171" s="629">
        <f t="shared" si="338"/>
        <v>0</v>
      </c>
      <c r="FT171" s="595" t="e">
        <f t="shared" si="355"/>
        <v>#DIV/0!</v>
      </c>
      <c r="FU171" s="629">
        <v>0</v>
      </c>
      <c r="FV171" s="595" t="e">
        <f t="shared" si="356"/>
        <v>#DIV/0!</v>
      </c>
      <c r="FW171" s="522">
        <f t="shared" si="357"/>
        <v>0</v>
      </c>
      <c r="FX171" s="666" t="e">
        <f t="shared" si="358"/>
        <v>#DIV/0!</v>
      </c>
      <c r="FY171" s="629">
        <f t="shared" si="359"/>
        <v>0</v>
      </c>
      <c r="FZ171" s="666" t="e">
        <f t="shared" si="360"/>
        <v>#DIV/0!</v>
      </c>
      <c r="GA171" s="629">
        <f t="shared" si="361"/>
        <v>0</v>
      </c>
      <c r="GB171" s="595" t="e">
        <f t="shared" si="362"/>
        <v>#DIV/0!</v>
      </c>
      <c r="GC171" s="629"/>
      <c r="GD171" s="595"/>
      <c r="GE171" s="522"/>
      <c r="GF171" s="514"/>
      <c r="GG171" s="522">
        <f t="shared" si="363"/>
        <v>0</v>
      </c>
      <c r="GH171" s="514" t="e">
        <f t="shared" si="364"/>
        <v>#DIV/0!</v>
      </c>
      <c r="GI171" s="629">
        <f t="shared" si="365"/>
        <v>0</v>
      </c>
      <c r="GJ171" s="595" t="e">
        <f t="shared" si="366"/>
        <v>#DIV/0!</v>
      </c>
      <c r="GK171" s="629">
        <f t="shared" si="367"/>
        <v>0</v>
      </c>
      <c r="GL171" s="595" t="e">
        <f t="shared" si="368"/>
        <v>#DIV/0!</v>
      </c>
      <c r="GM171" s="629">
        <f t="shared" si="369"/>
        <v>0</v>
      </c>
      <c r="GN171" s="595" t="e">
        <f t="shared" si="370"/>
        <v>#DIV/0!</v>
      </c>
      <c r="GO171" s="629">
        <f t="shared" si="371"/>
        <v>0</v>
      </c>
      <c r="GP171" s="595" t="e">
        <f t="shared" si="372"/>
        <v>#DIV/0!</v>
      </c>
      <c r="GQ171" s="105"/>
      <c r="GR171" s="105"/>
      <c r="GS171" s="105"/>
      <c r="GT171" s="105"/>
      <c r="GU171" s="105"/>
      <c r="GV171" s="105"/>
      <c r="GW171" s="105"/>
      <c r="GX171" s="105"/>
      <c r="GY171" s="105"/>
      <c r="GZ171" s="105"/>
      <c r="HA171" s="105"/>
      <c r="HB171" s="105"/>
      <c r="HC171" s="105"/>
      <c r="HD171" s="105"/>
      <c r="HE171" s="105"/>
      <c r="HF171" s="105"/>
      <c r="HG171" s="105"/>
      <c r="HH171" s="105"/>
      <c r="HI171" s="105"/>
      <c r="HJ171" s="105"/>
      <c r="HK171" s="105"/>
      <c r="HL171" s="105"/>
      <c r="HM171" s="105"/>
      <c r="HN171" s="105"/>
      <c r="HO171" s="105"/>
      <c r="HP171" s="105"/>
      <c r="HQ171" s="105"/>
      <c r="HR171" s="105"/>
      <c r="HS171" s="105"/>
      <c r="HT171" s="105"/>
      <c r="HU171" s="105"/>
      <c r="HV171" s="105"/>
      <c r="HW171" s="105"/>
      <c r="HX171" s="105"/>
      <c r="HY171" s="105"/>
      <c r="HZ171" s="105"/>
      <c r="IA171" s="105"/>
      <c r="IB171" s="105"/>
      <c r="IC171" s="105"/>
      <c r="ID171" s="105"/>
      <c r="IE171" s="199"/>
      <c r="IF171" s="141"/>
      <c r="IG171" s="141"/>
      <c r="IH171" s="141"/>
    </row>
    <row r="172" spans="2:242" s="202" customFormat="1" ht="33" customHeight="1" x14ac:dyDescent="0.25">
      <c r="B172" s="100" t="s">
        <v>270</v>
      </c>
      <c r="C172" s="559" t="s">
        <v>278</v>
      </c>
      <c r="D172" s="102"/>
      <c r="E172" s="103"/>
      <c r="F172" s="103"/>
      <c r="G172" s="103"/>
      <c r="H172" s="103"/>
      <c r="I172" s="103"/>
      <c r="J172" s="103"/>
      <c r="K172" s="103"/>
      <c r="L172" s="103"/>
      <c r="M172" s="103"/>
      <c r="N172" s="103"/>
      <c r="O172" s="103"/>
      <c r="P172" s="103"/>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6"/>
      <c r="AL172" s="106"/>
      <c r="AM172" s="111"/>
      <c r="AN172" s="111"/>
      <c r="AO172" s="109"/>
      <c r="AP172" s="105"/>
      <c r="AQ172" s="105"/>
      <c r="AR172" s="106"/>
      <c r="AS172" s="105"/>
      <c r="AT172" s="105"/>
      <c r="AU172" s="105"/>
      <c r="AV172" s="105"/>
      <c r="AW172" s="105"/>
      <c r="AX172" s="105"/>
      <c r="AY172" s="105"/>
      <c r="AZ172" s="105"/>
      <c r="BA172" s="105"/>
      <c r="BB172" s="105"/>
      <c r="BC172" s="105"/>
      <c r="BD172" s="105"/>
      <c r="BE172" s="105"/>
      <c r="BF172" s="105"/>
      <c r="BG172" s="105"/>
      <c r="BH172" s="105"/>
      <c r="BI172" s="105"/>
      <c r="BJ172" s="105"/>
      <c r="BK172" s="110"/>
      <c r="BL172" s="106"/>
      <c r="BM172" s="106"/>
      <c r="BN172" s="106"/>
      <c r="BO172" s="106"/>
      <c r="BP172" s="106"/>
      <c r="BQ172" s="106"/>
      <c r="BR172" s="106"/>
      <c r="BS172" s="106"/>
      <c r="BT172" s="106"/>
      <c r="BU172" s="106"/>
      <c r="BV172" s="105"/>
      <c r="BW172" s="105"/>
      <c r="BX172" s="105"/>
      <c r="BY172" s="105"/>
      <c r="BZ172" s="105"/>
      <c r="CA172" s="105"/>
      <c r="CB172" s="105">
        <f t="shared" si="353"/>
        <v>0</v>
      </c>
      <c r="CC172" s="105">
        <f t="shared" si="353"/>
        <v>0</v>
      </c>
      <c r="CD172" s="105">
        <f t="shared" si="353"/>
        <v>0</v>
      </c>
      <c r="CE172" s="105">
        <f t="shared" si="353"/>
        <v>0</v>
      </c>
      <c r="CF172" s="105">
        <f t="shared" si="353"/>
        <v>0</v>
      </c>
      <c r="CG172" s="105">
        <f t="shared" si="353"/>
        <v>0</v>
      </c>
      <c r="CH172" s="105">
        <f t="shared" si="353"/>
        <v>0</v>
      </c>
      <c r="CI172" s="105">
        <f t="shared" si="353"/>
        <v>0</v>
      </c>
      <c r="CJ172" s="105">
        <f t="shared" si="353"/>
        <v>0</v>
      </c>
      <c r="CK172" s="105">
        <f t="shared" si="353"/>
        <v>0</v>
      </c>
      <c r="CL172" s="105">
        <f t="shared" si="353"/>
        <v>0</v>
      </c>
      <c r="CM172" s="105">
        <f t="shared" si="353"/>
        <v>0</v>
      </c>
      <c r="CN172" s="105">
        <f t="shared" si="353"/>
        <v>0</v>
      </c>
      <c r="CO172" s="105">
        <f t="shared" si="353"/>
        <v>0</v>
      </c>
      <c r="CP172" s="105">
        <f t="shared" si="353"/>
        <v>0</v>
      </c>
      <c r="CQ172" s="105">
        <f t="shared" si="353"/>
        <v>0</v>
      </c>
      <c r="CR172" s="105">
        <f t="shared" si="353"/>
        <v>0</v>
      </c>
      <c r="CS172" s="105">
        <f t="shared" si="353"/>
        <v>0</v>
      </c>
      <c r="CT172" s="105">
        <f t="shared" si="353"/>
        <v>0</v>
      </c>
      <c r="CU172" s="105">
        <f t="shared" si="353"/>
        <v>0</v>
      </c>
      <c r="CV172" s="105">
        <f t="shared" si="353"/>
        <v>0</v>
      </c>
      <c r="CW172" s="105">
        <f t="shared" si="353"/>
        <v>0</v>
      </c>
      <c r="CX172" s="105">
        <f t="shared" si="353"/>
        <v>0</v>
      </c>
      <c r="CY172" s="105">
        <f t="shared" si="353"/>
        <v>0</v>
      </c>
      <c r="CZ172" s="105">
        <f t="shared" si="353"/>
        <v>0</v>
      </c>
      <c r="DA172" s="105">
        <f t="shared" si="353"/>
        <v>0</v>
      </c>
      <c r="DB172" s="105">
        <f t="shared" si="353"/>
        <v>0</v>
      </c>
      <c r="DC172" s="105"/>
      <c r="DD172" s="105"/>
      <c r="DE172" s="105"/>
      <c r="DF172" s="105">
        <f t="shared" si="354"/>
        <v>0</v>
      </c>
      <c r="DG172" s="105">
        <f t="shared" si="354"/>
        <v>0</v>
      </c>
      <c r="DH172" s="105">
        <f t="shared" si="354"/>
        <v>0</v>
      </c>
      <c r="DI172" s="105">
        <f t="shared" si="354"/>
        <v>0</v>
      </c>
      <c r="DJ172" s="105">
        <f t="shared" si="354"/>
        <v>0</v>
      </c>
      <c r="DK172" s="105">
        <f t="shared" si="354"/>
        <v>0</v>
      </c>
      <c r="DL172" s="105">
        <f t="shared" si="354"/>
        <v>0</v>
      </c>
      <c r="DM172" s="105">
        <f t="shared" si="354"/>
        <v>0</v>
      </c>
      <c r="DN172" s="105">
        <f t="shared" si="354"/>
        <v>0</v>
      </c>
      <c r="DO172" s="105">
        <f t="shared" si="354"/>
        <v>0</v>
      </c>
      <c r="DP172" s="105">
        <f t="shared" si="354"/>
        <v>0</v>
      </c>
      <c r="DQ172" s="105">
        <f t="shared" si="354"/>
        <v>0</v>
      </c>
      <c r="DR172" s="105">
        <f t="shared" si="354"/>
        <v>0</v>
      </c>
      <c r="DS172" s="105">
        <f t="shared" si="354"/>
        <v>0</v>
      </c>
      <c r="DT172" s="105">
        <f t="shared" si="354"/>
        <v>0</v>
      </c>
      <c r="DU172" s="105"/>
      <c r="DV172" s="105"/>
      <c r="DW172" s="105"/>
      <c r="DX172" s="105">
        <f>DX173</f>
        <v>0</v>
      </c>
      <c r="DY172" s="105">
        <f>DY173</f>
        <v>0</v>
      </c>
      <c r="DZ172" s="105">
        <f>DZ173</f>
        <v>0</v>
      </c>
      <c r="EA172" s="105"/>
      <c r="EB172" s="105"/>
      <c r="EC172" s="105"/>
      <c r="ED172" s="105">
        <f>EE172+EF172</f>
        <v>0</v>
      </c>
      <c r="EE172" s="105"/>
      <c r="EF172" s="105">
        <f>EF173</f>
        <v>0</v>
      </c>
      <c r="EG172" s="105">
        <f>EH172+EJ172</f>
        <v>3000</v>
      </c>
      <c r="EH172" s="105"/>
      <c r="EI172" s="105"/>
      <c r="EJ172" s="105">
        <f>EJ173</f>
        <v>3000</v>
      </c>
      <c r="EK172" s="105">
        <f>EK173</f>
        <v>0</v>
      </c>
      <c r="EL172" s="105">
        <f>EL173</f>
        <v>0</v>
      </c>
      <c r="EM172" s="105"/>
      <c r="EN172" s="105">
        <f>EN173</f>
        <v>0</v>
      </c>
      <c r="EO172" s="105">
        <f>EO173</f>
        <v>-3000</v>
      </c>
      <c r="EP172" s="105">
        <f>EP173</f>
        <v>0</v>
      </c>
      <c r="EQ172" s="105"/>
      <c r="ER172" s="105">
        <f>ER173</f>
        <v>-3000</v>
      </c>
      <c r="ES172" s="106">
        <f>ES173</f>
        <v>0</v>
      </c>
      <c r="ET172" s="106"/>
      <c r="EU172" s="106"/>
      <c r="EV172" s="105">
        <f>EV173</f>
        <v>0</v>
      </c>
      <c r="EW172" s="105">
        <f>EW173</f>
        <v>0</v>
      </c>
      <c r="EX172" s="105">
        <f>EX173</f>
        <v>0</v>
      </c>
      <c r="EY172" s="105">
        <f>EY173</f>
        <v>0</v>
      </c>
      <c r="EZ172" s="105"/>
      <c r="FA172" s="105"/>
      <c r="FB172" s="105"/>
      <c r="FC172" s="103">
        <f>FD172+FF172</f>
        <v>4000</v>
      </c>
      <c r="FD172" s="103"/>
      <c r="FE172" s="103"/>
      <c r="FF172" s="103">
        <f>FF173+FF174</f>
        <v>4000</v>
      </c>
      <c r="FG172" s="103">
        <f>FJ172+FI172+FH172</f>
        <v>1000</v>
      </c>
      <c r="FH172" s="103">
        <f>FH173</f>
        <v>0</v>
      </c>
      <c r="FI172" s="103"/>
      <c r="FJ172" s="103">
        <f>FJ173+FJ188</f>
        <v>1000</v>
      </c>
      <c r="FK172" s="103">
        <f>FK173</f>
        <v>3000</v>
      </c>
      <c r="FL172" s="103">
        <f>FL173</f>
        <v>0</v>
      </c>
      <c r="FM172" s="103"/>
      <c r="FN172" s="103">
        <f>FN173</f>
        <v>3000</v>
      </c>
      <c r="FO172" s="103">
        <f>FP172+FR172</f>
        <v>4000</v>
      </c>
      <c r="FP172" s="103"/>
      <c r="FQ172" s="103"/>
      <c r="FR172" s="103">
        <f>FR173+FR188</f>
        <v>4000</v>
      </c>
      <c r="FS172" s="629">
        <f t="shared" si="338"/>
        <v>0</v>
      </c>
      <c r="FT172" s="595">
        <f t="shared" si="355"/>
        <v>0</v>
      </c>
      <c r="FU172" s="629">
        <v>0</v>
      </c>
      <c r="FV172" s="595">
        <v>0</v>
      </c>
      <c r="FW172" s="522">
        <f t="shared" si="357"/>
        <v>0</v>
      </c>
      <c r="FX172" s="666">
        <v>0</v>
      </c>
      <c r="FY172" s="629">
        <f t="shared" si="359"/>
        <v>0</v>
      </c>
      <c r="FZ172" s="666">
        <f t="shared" si="360"/>
        <v>0</v>
      </c>
      <c r="GA172" s="629">
        <f t="shared" si="361"/>
        <v>0</v>
      </c>
      <c r="GB172" s="595">
        <f t="shared" si="362"/>
        <v>0</v>
      </c>
      <c r="GC172" s="629"/>
      <c r="GD172" s="595"/>
      <c r="GE172" s="522"/>
      <c r="GF172" s="514"/>
      <c r="GG172" s="522">
        <f t="shared" si="363"/>
        <v>0</v>
      </c>
      <c r="GH172" s="514">
        <f t="shared" si="364"/>
        <v>0</v>
      </c>
      <c r="GI172" s="629">
        <f t="shared" si="365"/>
        <v>4000</v>
      </c>
      <c r="GJ172" s="595">
        <f t="shared" si="366"/>
        <v>1</v>
      </c>
      <c r="GK172" s="629">
        <f t="shared" si="367"/>
        <v>0</v>
      </c>
      <c r="GL172" s="595">
        <v>0</v>
      </c>
      <c r="GM172" s="629">
        <f t="shared" si="369"/>
        <v>0</v>
      </c>
      <c r="GN172" s="595">
        <v>0</v>
      </c>
      <c r="GO172" s="629">
        <f>GO173</f>
        <v>4000</v>
      </c>
      <c r="GP172" s="595">
        <f t="shared" si="372"/>
        <v>1</v>
      </c>
      <c r="GQ172" s="105"/>
      <c r="GR172" s="105"/>
      <c r="GS172" s="105"/>
      <c r="GT172" s="105"/>
      <c r="GU172" s="105">
        <f>GV172+GX172</f>
        <v>0</v>
      </c>
      <c r="GV172" s="105"/>
      <c r="GW172" s="105"/>
      <c r="GX172" s="105">
        <f>GX173</f>
        <v>0</v>
      </c>
      <c r="GY172" s="105"/>
      <c r="GZ172" s="105"/>
      <c r="HA172" s="105"/>
      <c r="HB172" s="105"/>
      <c r="HC172" s="105"/>
      <c r="HD172" s="105"/>
      <c r="HE172" s="105"/>
      <c r="HF172" s="105"/>
      <c r="HG172" s="105">
        <f>HH172+HJ172</f>
        <v>75549.461750000002</v>
      </c>
      <c r="HH172" s="105"/>
      <c r="HI172" s="105"/>
      <c r="HJ172" s="105">
        <f>HJ173+HJ188</f>
        <v>75549.461750000002</v>
      </c>
      <c r="HK172" s="105">
        <f>HL172+HN172</f>
        <v>0</v>
      </c>
      <c r="HL172" s="105"/>
      <c r="HM172" s="105"/>
      <c r="HN172" s="105">
        <f>HN173</f>
        <v>0</v>
      </c>
      <c r="HO172" s="105">
        <f>HP172+HR172</f>
        <v>75549.461750000002</v>
      </c>
      <c r="HP172" s="105"/>
      <c r="HQ172" s="105"/>
      <c r="HR172" s="105">
        <f>HR173+HR188</f>
        <v>75549.461750000002</v>
      </c>
      <c r="HS172" s="105">
        <f>HT172+HV172</f>
        <v>0</v>
      </c>
      <c r="HT172" s="105"/>
      <c r="HU172" s="105"/>
      <c r="HV172" s="105">
        <f>HV173</f>
        <v>0</v>
      </c>
      <c r="HW172" s="105">
        <f>HW188</f>
        <v>59671.516710000004</v>
      </c>
      <c r="HX172" s="105"/>
      <c r="HY172" s="105"/>
      <c r="HZ172" s="105">
        <f>HZ188</f>
        <v>59671.516710000004</v>
      </c>
      <c r="IA172" s="105">
        <f>IA188</f>
        <v>59671.516710000004</v>
      </c>
      <c r="IB172" s="105"/>
      <c r="IC172" s="105"/>
      <c r="ID172" s="105">
        <f>ID188</f>
        <v>59671.516710000004</v>
      </c>
      <c r="IE172" s="228"/>
      <c r="IF172" s="141"/>
      <c r="IG172" s="141"/>
      <c r="IH172" s="141"/>
    </row>
    <row r="173" spans="2:242" s="225" customFormat="1" ht="106.5" customHeight="1" x14ac:dyDescent="0.2">
      <c r="B173" s="186" t="s">
        <v>134</v>
      </c>
      <c r="C173" s="226" t="s">
        <v>500</v>
      </c>
      <c r="D173" s="222"/>
      <c r="E173" s="143"/>
      <c r="F173" s="143"/>
      <c r="G173" s="143"/>
      <c r="H173" s="143"/>
      <c r="I173" s="143"/>
      <c r="J173" s="143"/>
      <c r="K173" s="143"/>
      <c r="L173" s="143"/>
      <c r="M173" s="143"/>
      <c r="N173" s="143"/>
      <c r="O173" s="143"/>
      <c r="P173" s="143"/>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68"/>
      <c r="AL173" s="168"/>
      <c r="AM173" s="223"/>
      <c r="AN173" s="223"/>
      <c r="AO173" s="166"/>
      <c r="AP173" s="144"/>
      <c r="AQ173" s="144"/>
      <c r="AR173" s="168"/>
      <c r="AS173" s="144"/>
      <c r="AT173" s="144"/>
      <c r="AU173" s="144"/>
      <c r="AV173" s="144"/>
      <c r="AW173" s="144"/>
      <c r="AX173" s="144"/>
      <c r="AY173" s="144"/>
      <c r="AZ173" s="144"/>
      <c r="BA173" s="144"/>
      <c r="BB173" s="144"/>
      <c r="BC173" s="144"/>
      <c r="BD173" s="144"/>
      <c r="BE173" s="144"/>
      <c r="BF173" s="144"/>
      <c r="BG173" s="144"/>
      <c r="BH173" s="144"/>
      <c r="BI173" s="144"/>
      <c r="BJ173" s="144"/>
      <c r="BK173" s="167"/>
      <c r="BL173" s="168"/>
      <c r="BM173" s="168"/>
      <c r="BN173" s="168"/>
      <c r="BO173" s="168"/>
      <c r="BP173" s="168"/>
      <c r="BQ173" s="168"/>
      <c r="BR173" s="168"/>
      <c r="BS173" s="168"/>
      <c r="BT173" s="168"/>
      <c r="BU173" s="168"/>
      <c r="BV173" s="144"/>
      <c r="BW173" s="144"/>
      <c r="BX173" s="144"/>
      <c r="BY173" s="144"/>
      <c r="BZ173" s="144"/>
      <c r="CA173" s="144"/>
      <c r="CB173" s="144"/>
      <c r="CC173" s="144"/>
      <c r="CD173" s="144"/>
      <c r="CE173" s="168"/>
      <c r="CF173" s="168"/>
      <c r="CG173" s="144"/>
      <c r="CH173" s="144"/>
      <c r="CI173" s="144"/>
      <c r="CJ173" s="144"/>
      <c r="CK173" s="144"/>
      <c r="CL173" s="144"/>
      <c r="CM173" s="144"/>
      <c r="CN173" s="144"/>
      <c r="CO173" s="144"/>
      <c r="CP173" s="144"/>
      <c r="CQ173" s="144"/>
      <c r="CR173" s="144"/>
      <c r="CS173" s="144"/>
      <c r="CT173" s="144"/>
      <c r="CU173" s="144"/>
      <c r="CV173" s="144"/>
      <c r="CW173" s="144"/>
      <c r="CX173" s="144"/>
      <c r="CY173" s="144"/>
      <c r="CZ173" s="144"/>
      <c r="DA173" s="144"/>
      <c r="DB173" s="144"/>
      <c r="DC173" s="144"/>
      <c r="DD173" s="144"/>
      <c r="DE173" s="144"/>
      <c r="DF173" s="144"/>
      <c r="DG173" s="144"/>
      <c r="DH173" s="144"/>
      <c r="DI173" s="144"/>
      <c r="DJ173" s="144"/>
      <c r="DK173" s="144"/>
      <c r="DL173" s="144"/>
      <c r="DM173" s="144"/>
      <c r="DN173" s="144"/>
      <c r="DO173" s="144"/>
      <c r="DP173" s="144"/>
      <c r="DQ173" s="144"/>
      <c r="DR173" s="144"/>
      <c r="DS173" s="144"/>
      <c r="DT173" s="144"/>
      <c r="DU173" s="144"/>
      <c r="DV173" s="144"/>
      <c r="DW173" s="144"/>
      <c r="DX173" s="144"/>
      <c r="DY173" s="144"/>
      <c r="DZ173" s="144"/>
      <c r="EA173" s="144"/>
      <c r="EB173" s="144"/>
      <c r="EC173" s="144"/>
      <c r="ED173" s="144"/>
      <c r="EE173" s="144"/>
      <c r="EF173" s="144"/>
      <c r="EG173" s="144">
        <f>EJ173</f>
        <v>3000</v>
      </c>
      <c r="EH173" s="144"/>
      <c r="EI173" s="144"/>
      <c r="EJ173" s="144">
        <v>3000</v>
      </c>
      <c r="EK173" s="144"/>
      <c r="EL173" s="144"/>
      <c r="EM173" s="144"/>
      <c r="EN173" s="144"/>
      <c r="EO173" s="144">
        <f>ER173</f>
        <v>-3000</v>
      </c>
      <c r="EP173" s="144"/>
      <c r="EQ173" s="144"/>
      <c r="ER173" s="144">
        <f>EV173-EJ173</f>
        <v>-3000</v>
      </c>
      <c r="ES173" s="164">
        <f>ET173+EV173</f>
        <v>0</v>
      </c>
      <c r="ET173" s="164">
        <v>0</v>
      </c>
      <c r="EU173" s="164"/>
      <c r="EV173" s="144">
        <f>FR173-EJ173</f>
        <v>0</v>
      </c>
      <c r="EW173" s="144"/>
      <c r="EX173" s="144"/>
      <c r="EY173" s="144"/>
      <c r="EZ173" s="144"/>
      <c r="FA173" s="144"/>
      <c r="FB173" s="144"/>
      <c r="FC173" s="143">
        <f>FF173</f>
        <v>4000</v>
      </c>
      <c r="FD173" s="143"/>
      <c r="FE173" s="143"/>
      <c r="FF173" s="143">
        <v>4000</v>
      </c>
      <c r="FG173" s="143">
        <f>FJ173</f>
        <v>0</v>
      </c>
      <c r="FH173" s="143"/>
      <c r="FI173" s="143"/>
      <c r="FJ173" s="143">
        <v>0</v>
      </c>
      <c r="FK173" s="143">
        <f>FN173</f>
        <v>3000</v>
      </c>
      <c r="FL173" s="143"/>
      <c r="FM173" s="143"/>
      <c r="FN173" s="143">
        <f>FR173</f>
        <v>3000</v>
      </c>
      <c r="FO173" s="143">
        <f>FR173</f>
        <v>3000</v>
      </c>
      <c r="FP173" s="143"/>
      <c r="FQ173" s="143"/>
      <c r="FR173" s="143">
        <f>EJ173</f>
        <v>3000</v>
      </c>
      <c r="FS173" s="90">
        <f t="shared" si="338"/>
        <v>0</v>
      </c>
      <c r="FT173" s="518">
        <f t="shared" si="355"/>
        <v>0</v>
      </c>
      <c r="FU173" s="90">
        <v>0</v>
      </c>
      <c r="FV173" s="518">
        <v>0</v>
      </c>
      <c r="FW173" s="87">
        <f t="shared" si="357"/>
        <v>0</v>
      </c>
      <c r="FX173" s="665">
        <v>0</v>
      </c>
      <c r="FY173" s="90">
        <f t="shared" si="359"/>
        <v>0</v>
      </c>
      <c r="FZ173" s="665">
        <f t="shared" si="360"/>
        <v>0</v>
      </c>
      <c r="GA173" s="90">
        <f t="shared" si="361"/>
        <v>0</v>
      </c>
      <c r="GB173" s="518">
        <f t="shared" si="362"/>
        <v>0</v>
      </c>
      <c r="GC173" s="90"/>
      <c r="GD173" s="518"/>
      <c r="GE173" s="87"/>
      <c r="GF173" s="515"/>
      <c r="GG173" s="87">
        <f t="shared" si="363"/>
        <v>0</v>
      </c>
      <c r="GH173" s="515">
        <f t="shared" si="364"/>
        <v>0</v>
      </c>
      <c r="GI173" s="90">
        <f t="shared" si="365"/>
        <v>4000</v>
      </c>
      <c r="GJ173" s="518">
        <f t="shared" si="366"/>
        <v>1</v>
      </c>
      <c r="GK173" s="90">
        <f t="shared" si="367"/>
        <v>0</v>
      </c>
      <c r="GL173" s="518">
        <v>0</v>
      </c>
      <c r="GM173" s="90">
        <f t="shared" si="369"/>
        <v>0</v>
      </c>
      <c r="GN173" s="518">
        <v>0</v>
      </c>
      <c r="GO173" s="90">
        <f>FF173</f>
        <v>4000</v>
      </c>
      <c r="GP173" s="518">
        <f t="shared" si="372"/>
        <v>1</v>
      </c>
      <c r="GQ173" s="144"/>
      <c r="GR173" s="144"/>
      <c r="GS173" s="144"/>
      <c r="GT173" s="144"/>
      <c r="GU173" s="144">
        <f>GV173+GX173</f>
        <v>0</v>
      </c>
      <c r="GV173" s="144"/>
      <c r="GW173" s="144"/>
      <c r="GX173" s="144">
        <v>0</v>
      </c>
      <c r="GY173" s="144"/>
      <c r="GZ173" s="144"/>
      <c r="HA173" s="144"/>
      <c r="HB173" s="144"/>
      <c r="HC173" s="144"/>
      <c r="HD173" s="144"/>
      <c r="HE173" s="144"/>
      <c r="HF173" s="144"/>
      <c r="HG173" s="144">
        <f>HJ173</f>
        <v>0</v>
      </c>
      <c r="HH173" s="144"/>
      <c r="HI173" s="144"/>
      <c r="HJ173" s="144"/>
      <c r="HK173" s="144">
        <f>HN173</f>
        <v>0</v>
      </c>
      <c r="HL173" s="144"/>
      <c r="HM173" s="144"/>
      <c r="HN173" s="144">
        <f>HR173-GX173</f>
        <v>0</v>
      </c>
      <c r="HO173" s="144">
        <f>HR173</f>
        <v>0</v>
      </c>
      <c r="HP173" s="144"/>
      <c r="HQ173" s="144"/>
      <c r="HR173" s="144">
        <v>0</v>
      </c>
      <c r="HS173" s="144">
        <f>HV173</f>
        <v>0</v>
      </c>
      <c r="HT173" s="144"/>
      <c r="HU173" s="144"/>
      <c r="HV173" s="144">
        <v>0</v>
      </c>
      <c r="HW173" s="144">
        <f>HX173+HZ173</f>
        <v>0</v>
      </c>
      <c r="HX173" s="144"/>
      <c r="HY173" s="144"/>
      <c r="HZ173" s="144">
        <f>ID173-HV173</f>
        <v>0</v>
      </c>
      <c r="IA173" s="144">
        <f>IB173+ID173</f>
        <v>0</v>
      </c>
      <c r="IB173" s="144"/>
      <c r="IC173" s="144"/>
      <c r="ID173" s="144">
        <v>0</v>
      </c>
      <c r="IE173" s="548" t="s">
        <v>279</v>
      </c>
      <c r="IF173" s="145"/>
      <c r="IG173" s="145"/>
      <c r="IH173" s="145"/>
    </row>
    <row r="174" spans="2:242" s="202" customFormat="1" ht="122.25" hidden="1" customHeight="1" x14ac:dyDescent="0.25">
      <c r="B174" s="186" t="s">
        <v>221</v>
      </c>
      <c r="C174" s="221" t="s">
        <v>291</v>
      </c>
      <c r="D174" s="102"/>
      <c r="E174" s="103"/>
      <c r="F174" s="103"/>
      <c r="G174" s="103"/>
      <c r="H174" s="103"/>
      <c r="I174" s="103"/>
      <c r="J174" s="103"/>
      <c r="K174" s="103"/>
      <c r="L174" s="103"/>
      <c r="M174" s="103"/>
      <c r="N174" s="103"/>
      <c r="O174" s="103"/>
      <c r="P174" s="103"/>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6"/>
      <c r="AL174" s="106"/>
      <c r="AM174" s="111"/>
      <c r="AN174" s="111"/>
      <c r="AO174" s="109"/>
      <c r="AP174" s="105"/>
      <c r="AQ174" s="105"/>
      <c r="AR174" s="106"/>
      <c r="AS174" s="105"/>
      <c r="AT174" s="105"/>
      <c r="AU174" s="105"/>
      <c r="AV174" s="105"/>
      <c r="AW174" s="105"/>
      <c r="AX174" s="105"/>
      <c r="AY174" s="105"/>
      <c r="AZ174" s="105"/>
      <c r="BA174" s="105"/>
      <c r="BB174" s="105"/>
      <c r="BC174" s="105"/>
      <c r="BD174" s="105"/>
      <c r="BE174" s="105"/>
      <c r="BF174" s="105"/>
      <c r="BG174" s="105"/>
      <c r="BH174" s="105"/>
      <c r="BI174" s="105"/>
      <c r="BJ174" s="105"/>
      <c r="BK174" s="110"/>
      <c r="BL174" s="106"/>
      <c r="BM174" s="106"/>
      <c r="BN174" s="106"/>
      <c r="BO174" s="106"/>
      <c r="BP174" s="106"/>
      <c r="BQ174" s="106"/>
      <c r="BR174" s="106"/>
      <c r="BS174" s="106"/>
      <c r="BT174" s="106"/>
      <c r="BU174" s="106"/>
      <c r="BV174" s="105"/>
      <c r="BW174" s="105"/>
      <c r="BX174" s="105"/>
      <c r="BY174" s="105"/>
      <c r="BZ174" s="105"/>
      <c r="CA174" s="105"/>
      <c r="CB174" s="105"/>
      <c r="CC174" s="105"/>
      <c r="CD174" s="105"/>
      <c r="CE174" s="106"/>
      <c r="CF174" s="106"/>
      <c r="CG174" s="105"/>
      <c r="CH174" s="105"/>
      <c r="CI174" s="105"/>
      <c r="CJ174" s="105"/>
      <c r="CK174" s="105"/>
      <c r="CL174" s="105"/>
      <c r="CM174" s="105"/>
      <c r="CN174" s="105"/>
      <c r="CO174" s="105"/>
      <c r="CP174" s="105"/>
      <c r="CQ174" s="105"/>
      <c r="CR174" s="105"/>
      <c r="CS174" s="105"/>
      <c r="CT174" s="105"/>
      <c r="CU174" s="105"/>
      <c r="CV174" s="105"/>
      <c r="CW174" s="105">
        <f>CX174+CY174</f>
        <v>5546.3</v>
      </c>
      <c r="CX174" s="105">
        <v>0</v>
      </c>
      <c r="CY174" s="105">
        <v>5546.3</v>
      </c>
      <c r="CZ174" s="105"/>
      <c r="DA174" s="105"/>
      <c r="DB174" s="105"/>
      <c r="DC174" s="105"/>
      <c r="DD174" s="105"/>
      <c r="DE174" s="105"/>
      <c r="DF174" s="105">
        <f>DG174+DH174</f>
        <v>0</v>
      </c>
      <c r="DG174" s="105">
        <v>0</v>
      </c>
      <c r="DH174" s="105">
        <f>DK174-CY174</f>
        <v>0</v>
      </c>
      <c r="DI174" s="105">
        <f>DJ174+DK174</f>
        <v>5546.3</v>
      </c>
      <c r="DJ174" s="105"/>
      <c r="DK174" s="105">
        <f>CY174</f>
        <v>5546.3</v>
      </c>
      <c r="DL174" s="105"/>
      <c r="DM174" s="105"/>
      <c r="DN174" s="105"/>
      <c r="DO174" s="105"/>
      <c r="DP174" s="105"/>
      <c r="DQ174" s="105"/>
      <c r="DR174" s="105"/>
      <c r="DS174" s="105"/>
      <c r="DT174" s="105"/>
      <c r="DU174" s="105">
        <f>DV174+DW174</f>
        <v>184000</v>
      </c>
      <c r="DV174" s="105"/>
      <c r="DW174" s="105">
        <v>184000</v>
      </c>
      <c r="DX174" s="105"/>
      <c r="DY174" s="105"/>
      <c r="DZ174" s="105"/>
      <c r="EA174" s="105"/>
      <c r="EB174" s="105"/>
      <c r="EC174" s="105"/>
      <c r="ED174" s="105">
        <f>EE174+EF174</f>
        <v>-184000</v>
      </c>
      <c r="EE174" s="105"/>
      <c r="EF174" s="105">
        <f>EJ174-DW174</f>
        <v>-184000</v>
      </c>
      <c r="EG174" s="105">
        <f>EH174+EJ174</f>
        <v>0</v>
      </c>
      <c r="EH174" s="105"/>
      <c r="EI174" s="105"/>
      <c r="EJ174" s="105">
        <v>0</v>
      </c>
      <c r="EK174" s="105">
        <f>EN174</f>
        <v>0</v>
      </c>
      <c r="EL174" s="105"/>
      <c r="EM174" s="105"/>
      <c r="EN174" s="105">
        <v>0</v>
      </c>
      <c r="EO174" s="105">
        <f>ER174</f>
        <v>0</v>
      </c>
      <c r="EP174" s="105"/>
      <c r="EQ174" s="105"/>
      <c r="ER174" s="105">
        <f>EV174-EJ174</f>
        <v>0</v>
      </c>
      <c r="ES174" s="180">
        <f>ET174+EV174</f>
        <v>0</v>
      </c>
      <c r="ET174" s="181"/>
      <c r="EU174" s="181"/>
      <c r="EV174" s="105">
        <v>0</v>
      </c>
      <c r="EW174" s="105">
        <f>EY174</f>
        <v>34170.603999999999</v>
      </c>
      <c r="EX174" s="105"/>
      <c r="EY174" s="105">
        <v>34170.603999999999</v>
      </c>
      <c r="EZ174" s="105"/>
      <c r="FA174" s="105"/>
      <c r="FB174" s="105"/>
      <c r="FC174" s="143">
        <f t="shared" ref="FC174:FC188" si="373">FF174</f>
        <v>0</v>
      </c>
      <c r="FD174" s="103"/>
      <c r="FE174" s="103"/>
      <c r="FF174" s="143">
        <v>0</v>
      </c>
      <c r="FG174" s="103"/>
      <c r="FH174" s="103"/>
      <c r="FI174" s="103"/>
      <c r="FJ174" s="103"/>
      <c r="FK174" s="103">
        <f>FN174</f>
        <v>0</v>
      </c>
      <c r="FL174" s="103"/>
      <c r="FM174" s="103"/>
      <c r="FN174" s="103">
        <f>FR174-FF174</f>
        <v>0</v>
      </c>
      <c r="FO174" s="143">
        <f t="shared" ref="FO174:FO188" si="374">FR174</f>
        <v>0</v>
      </c>
      <c r="FP174" s="103"/>
      <c r="FQ174" s="103"/>
      <c r="FR174" s="143">
        <f t="shared" ref="FR174:FR187" si="375">EJ174</f>
        <v>0</v>
      </c>
      <c r="FS174" s="629">
        <f t="shared" si="338"/>
        <v>0</v>
      </c>
      <c r="FT174" s="595" t="e">
        <f t="shared" si="355"/>
        <v>#DIV/0!</v>
      </c>
      <c r="FU174" s="629">
        <v>0</v>
      </c>
      <c r="FV174" s="595" t="e">
        <f t="shared" si="356"/>
        <v>#DIV/0!</v>
      </c>
      <c r="FW174" s="522">
        <f t="shared" si="357"/>
        <v>0</v>
      </c>
      <c r="FX174" s="666" t="e">
        <f t="shared" si="358"/>
        <v>#DIV/0!</v>
      </c>
      <c r="FY174" s="629">
        <f t="shared" si="359"/>
        <v>0</v>
      </c>
      <c r="FZ174" s="666" t="e">
        <f t="shared" si="360"/>
        <v>#DIV/0!</v>
      </c>
      <c r="GA174" s="629">
        <f t="shared" si="361"/>
        <v>0</v>
      </c>
      <c r="GB174" s="595" t="e">
        <f t="shared" si="362"/>
        <v>#DIV/0!</v>
      </c>
      <c r="GC174" s="629">
        <v>0</v>
      </c>
      <c r="GD174" s="595" t="e">
        <f t="shared" ref="GD174:GD209" si="376">GC174/FD174</f>
        <v>#DIV/0!</v>
      </c>
      <c r="GE174" s="522"/>
      <c r="GF174" s="514"/>
      <c r="GG174" s="522">
        <f t="shared" si="363"/>
        <v>0</v>
      </c>
      <c r="GH174" s="514" t="e">
        <f t="shared" si="364"/>
        <v>#DIV/0!</v>
      </c>
      <c r="GI174" s="90">
        <f t="shared" si="365"/>
        <v>0</v>
      </c>
      <c r="GJ174" s="595" t="e">
        <f t="shared" si="366"/>
        <v>#DIV/0!</v>
      </c>
      <c r="GK174" s="90">
        <f t="shared" si="367"/>
        <v>0</v>
      </c>
      <c r="GL174" s="595" t="e">
        <f t="shared" si="368"/>
        <v>#DIV/0!</v>
      </c>
      <c r="GM174" s="90">
        <f t="shared" si="369"/>
        <v>0</v>
      </c>
      <c r="GN174" s="595" t="e">
        <f t="shared" si="370"/>
        <v>#DIV/0!</v>
      </c>
      <c r="GO174" s="90">
        <f t="shared" si="371"/>
        <v>0</v>
      </c>
      <c r="GP174" s="595" t="e">
        <f t="shared" si="372"/>
        <v>#DIV/0!</v>
      </c>
      <c r="GQ174" s="144"/>
      <c r="GR174" s="144"/>
      <c r="GS174" s="144"/>
      <c r="GT174" s="144"/>
      <c r="GU174" s="144">
        <f t="shared" ref="GU174:GU188" si="377">GV174+GX174</f>
        <v>0</v>
      </c>
      <c r="GV174" s="105"/>
      <c r="GW174" s="105"/>
      <c r="GX174" s="105">
        <v>0</v>
      </c>
      <c r="GY174" s="105"/>
      <c r="GZ174" s="105"/>
      <c r="HA174" s="105"/>
      <c r="HB174" s="105"/>
      <c r="HC174" s="105"/>
      <c r="HD174" s="105"/>
      <c r="HE174" s="105"/>
      <c r="HF174" s="105"/>
      <c r="HG174" s="144">
        <f t="shared" ref="HG174:HG188" si="378">HJ174</f>
        <v>0</v>
      </c>
      <c r="HH174" s="105"/>
      <c r="HI174" s="105"/>
      <c r="HJ174" s="144">
        <f>HR174-GX174</f>
        <v>0</v>
      </c>
      <c r="HK174" s="105">
        <f>HL174+HN174</f>
        <v>0</v>
      </c>
      <c r="HL174" s="105"/>
      <c r="HM174" s="105"/>
      <c r="HN174" s="144">
        <f>IH174-HB174</f>
        <v>0</v>
      </c>
      <c r="HO174" s="144">
        <f t="shared" ref="HO174:HO188" si="379">HR174</f>
        <v>0</v>
      </c>
      <c r="HP174" s="105"/>
      <c r="HQ174" s="105"/>
      <c r="HR174" s="105">
        <f>GX174</f>
        <v>0</v>
      </c>
      <c r="HS174" s="105">
        <f>HT174+HV174</f>
        <v>0</v>
      </c>
      <c r="HT174" s="105"/>
      <c r="HU174" s="105"/>
      <c r="HV174" s="105">
        <v>0</v>
      </c>
      <c r="HW174" s="105">
        <f>HX174+HZ174</f>
        <v>0</v>
      </c>
      <c r="HX174" s="105"/>
      <c r="HY174" s="105"/>
      <c r="HZ174" s="144">
        <f>IT174-HN174</f>
        <v>0</v>
      </c>
      <c r="IA174" s="105">
        <f>IB174+ID174</f>
        <v>0</v>
      </c>
      <c r="IB174" s="105"/>
      <c r="IC174" s="105"/>
      <c r="ID174" s="105">
        <v>0</v>
      </c>
      <c r="IE174" s="636"/>
      <c r="IF174" s="141"/>
      <c r="IG174" s="141"/>
      <c r="IH174" s="141"/>
    </row>
    <row r="175" spans="2:242" s="205" customFormat="1" ht="137.25" hidden="1" customHeight="1" x14ac:dyDescent="0.25">
      <c r="B175" s="149" t="s">
        <v>78</v>
      </c>
      <c r="C175" s="150" t="s">
        <v>280</v>
      </c>
      <c r="D175" s="151"/>
      <c r="E175" s="152"/>
      <c r="F175" s="152"/>
      <c r="G175" s="152"/>
      <c r="H175" s="152"/>
      <c r="I175" s="152"/>
      <c r="J175" s="152"/>
      <c r="K175" s="152"/>
      <c r="L175" s="152"/>
      <c r="M175" s="152"/>
      <c r="N175" s="152"/>
      <c r="O175" s="152"/>
      <c r="P175" s="152"/>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4"/>
      <c r="AL175" s="154"/>
      <c r="AM175" s="107"/>
      <c r="AN175" s="107"/>
      <c r="AO175" s="155"/>
      <c r="AP175" s="153"/>
      <c r="AQ175" s="153"/>
      <c r="AR175" s="154"/>
      <c r="AS175" s="153"/>
      <c r="AT175" s="153"/>
      <c r="AU175" s="153"/>
      <c r="AV175" s="153"/>
      <c r="AW175" s="153"/>
      <c r="AX175" s="153"/>
      <c r="AY175" s="153"/>
      <c r="AZ175" s="153"/>
      <c r="BA175" s="153"/>
      <c r="BB175" s="153"/>
      <c r="BC175" s="153"/>
      <c r="BD175" s="153"/>
      <c r="BE175" s="153"/>
      <c r="BF175" s="153"/>
      <c r="BG175" s="153"/>
      <c r="BH175" s="153"/>
      <c r="BI175" s="153"/>
      <c r="BJ175" s="153"/>
      <c r="BK175" s="156"/>
      <c r="BL175" s="154"/>
      <c r="BM175" s="154"/>
      <c r="BN175" s="154"/>
      <c r="BO175" s="154"/>
      <c r="BP175" s="154"/>
      <c r="BQ175" s="154"/>
      <c r="BR175" s="154"/>
      <c r="BS175" s="154"/>
      <c r="BT175" s="154"/>
      <c r="BU175" s="154"/>
      <c r="BV175" s="153"/>
      <c r="BW175" s="153"/>
      <c r="BX175" s="153"/>
      <c r="BY175" s="153"/>
      <c r="BZ175" s="153"/>
      <c r="CA175" s="153"/>
      <c r="CB175" s="153"/>
      <c r="CC175" s="153"/>
      <c r="CD175" s="153"/>
      <c r="CE175" s="154"/>
      <c r="CF175" s="154"/>
      <c r="CG175" s="153"/>
      <c r="CH175" s="153"/>
      <c r="CI175" s="153"/>
      <c r="CJ175" s="153"/>
      <c r="CK175" s="153"/>
      <c r="CL175" s="153"/>
      <c r="CM175" s="153"/>
      <c r="CN175" s="153"/>
      <c r="CO175" s="153"/>
      <c r="CP175" s="153"/>
      <c r="CQ175" s="153"/>
      <c r="CR175" s="153"/>
      <c r="CS175" s="153"/>
      <c r="CT175" s="153"/>
      <c r="CU175" s="153"/>
      <c r="CV175" s="153"/>
      <c r="CW175" s="153">
        <f t="shared" ref="CW175:FH175" si="380">CW176+CW180+CW183</f>
        <v>605719.06089999992</v>
      </c>
      <c r="CX175" s="153">
        <f t="shared" si="380"/>
        <v>605719.06089999992</v>
      </c>
      <c r="CY175" s="153">
        <f t="shared" si="380"/>
        <v>0</v>
      </c>
      <c r="CZ175" s="153">
        <f t="shared" si="380"/>
        <v>258461.3</v>
      </c>
      <c r="DA175" s="153">
        <f t="shared" si="380"/>
        <v>258461.3</v>
      </c>
      <c r="DB175" s="153">
        <f t="shared" si="380"/>
        <v>0</v>
      </c>
      <c r="DC175" s="153">
        <f t="shared" si="380"/>
        <v>166307.16456999999</v>
      </c>
      <c r="DD175" s="153">
        <f t="shared" si="380"/>
        <v>166307.16456999999</v>
      </c>
      <c r="DE175" s="153">
        <f t="shared" si="380"/>
        <v>0</v>
      </c>
      <c r="DF175" s="153">
        <f t="shared" si="380"/>
        <v>-605719.06089999992</v>
      </c>
      <c r="DG175" s="153">
        <f t="shared" si="380"/>
        <v>-605719.06089999992</v>
      </c>
      <c r="DH175" s="153">
        <f t="shared" si="380"/>
        <v>0</v>
      </c>
      <c r="DI175" s="153">
        <f t="shared" si="380"/>
        <v>0</v>
      </c>
      <c r="DJ175" s="153">
        <f t="shared" si="380"/>
        <v>0</v>
      </c>
      <c r="DK175" s="153">
        <f t="shared" si="380"/>
        <v>0</v>
      </c>
      <c r="DL175" s="153">
        <f t="shared" si="380"/>
        <v>503529.41016000003</v>
      </c>
      <c r="DM175" s="153">
        <f t="shared" si="380"/>
        <v>503529.41016000003</v>
      </c>
      <c r="DN175" s="153">
        <f t="shared" si="380"/>
        <v>0</v>
      </c>
      <c r="DO175" s="153">
        <f t="shared" si="380"/>
        <v>-62810.349260000003</v>
      </c>
      <c r="DP175" s="153">
        <f t="shared" si="380"/>
        <v>-62810.349260000003</v>
      </c>
      <c r="DQ175" s="153">
        <f t="shared" si="380"/>
        <v>0</v>
      </c>
      <c r="DR175" s="153">
        <f t="shared" si="380"/>
        <v>-440719.06090000004</v>
      </c>
      <c r="DS175" s="153">
        <f t="shared" si="380"/>
        <v>-440719.06090000004</v>
      </c>
      <c r="DT175" s="153">
        <f t="shared" si="380"/>
        <v>0</v>
      </c>
      <c r="DU175" s="153">
        <f t="shared" si="380"/>
        <v>433154.99399999995</v>
      </c>
      <c r="DV175" s="153">
        <f t="shared" si="380"/>
        <v>433154.99399999995</v>
      </c>
      <c r="DW175" s="153">
        <f t="shared" si="380"/>
        <v>0</v>
      </c>
      <c r="DX175" s="153">
        <f t="shared" si="380"/>
        <v>32250</v>
      </c>
      <c r="DY175" s="153">
        <f t="shared" si="380"/>
        <v>32250</v>
      </c>
      <c r="DZ175" s="153">
        <f t="shared" si="380"/>
        <v>0</v>
      </c>
      <c r="EA175" s="153">
        <f t="shared" si="380"/>
        <v>363493.84052999999</v>
      </c>
      <c r="EB175" s="153">
        <f t="shared" si="380"/>
        <v>363493.84052999999</v>
      </c>
      <c r="EC175" s="153">
        <f t="shared" si="380"/>
        <v>0</v>
      </c>
      <c r="ED175" s="153">
        <f t="shared" si="380"/>
        <v>-433154.99399999995</v>
      </c>
      <c r="EE175" s="153">
        <f t="shared" si="380"/>
        <v>-433154.99399999995</v>
      </c>
      <c r="EF175" s="153">
        <f t="shared" si="380"/>
        <v>0</v>
      </c>
      <c r="EG175" s="153">
        <f t="shared" si="380"/>
        <v>0</v>
      </c>
      <c r="EH175" s="153">
        <f t="shared" si="380"/>
        <v>0</v>
      </c>
      <c r="EI175" s="153"/>
      <c r="EJ175" s="153">
        <f>EJ176+EJ180+EJ183</f>
        <v>0</v>
      </c>
      <c r="EK175" s="153">
        <f t="shared" si="380"/>
        <v>0</v>
      </c>
      <c r="EL175" s="153">
        <f t="shared" si="380"/>
        <v>0</v>
      </c>
      <c r="EM175" s="153"/>
      <c r="EN175" s="153">
        <f t="shared" si="380"/>
        <v>0</v>
      </c>
      <c r="EO175" s="153">
        <f t="shared" si="380"/>
        <v>0</v>
      </c>
      <c r="EP175" s="153">
        <f t="shared" si="380"/>
        <v>0</v>
      </c>
      <c r="EQ175" s="153"/>
      <c r="ER175" s="153">
        <f>ER176+ER180+ER183</f>
        <v>0</v>
      </c>
      <c r="ES175" s="152">
        <f t="shared" si="380"/>
        <v>0</v>
      </c>
      <c r="ET175" s="153">
        <f t="shared" si="380"/>
        <v>0</v>
      </c>
      <c r="EU175" s="153"/>
      <c r="EV175" s="153">
        <f>EV176+EV180+EV183</f>
        <v>0</v>
      </c>
      <c r="EW175" s="153">
        <f t="shared" si="380"/>
        <v>497651.12247</v>
      </c>
      <c r="EX175" s="153">
        <f t="shared" si="380"/>
        <v>497651.12247</v>
      </c>
      <c r="EY175" s="153">
        <f t="shared" si="380"/>
        <v>0</v>
      </c>
      <c r="EZ175" s="153">
        <f t="shared" si="380"/>
        <v>-477401.12247</v>
      </c>
      <c r="FA175" s="153">
        <f t="shared" si="380"/>
        <v>-477401.12247</v>
      </c>
      <c r="FB175" s="153">
        <f t="shared" si="380"/>
        <v>0</v>
      </c>
      <c r="FC175" s="143">
        <f t="shared" si="373"/>
        <v>0</v>
      </c>
      <c r="FD175" s="152">
        <f t="shared" si="380"/>
        <v>0</v>
      </c>
      <c r="FE175" s="152"/>
      <c r="FF175" s="152">
        <f t="shared" si="380"/>
        <v>0</v>
      </c>
      <c r="FG175" s="152">
        <f t="shared" si="380"/>
        <v>0</v>
      </c>
      <c r="FH175" s="152">
        <f t="shared" si="380"/>
        <v>0</v>
      </c>
      <c r="FI175" s="152"/>
      <c r="FJ175" s="152">
        <f t="shared" ref="FJ175:FP175" si="381">FJ176+FJ180+FJ183</f>
        <v>0</v>
      </c>
      <c r="FK175" s="152">
        <f t="shared" si="381"/>
        <v>0</v>
      </c>
      <c r="FL175" s="152">
        <f t="shared" si="381"/>
        <v>0</v>
      </c>
      <c r="FM175" s="152"/>
      <c r="FN175" s="152">
        <f>FN176+FN180+FN183</f>
        <v>0</v>
      </c>
      <c r="FO175" s="143">
        <f t="shared" si="374"/>
        <v>0</v>
      </c>
      <c r="FP175" s="152">
        <f t="shared" si="381"/>
        <v>0</v>
      </c>
      <c r="FQ175" s="152"/>
      <c r="FR175" s="143">
        <f t="shared" si="375"/>
        <v>0</v>
      </c>
      <c r="FS175" s="39">
        <f t="shared" si="338"/>
        <v>0</v>
      </c>
      <c r="FT175" s="485" t="e">
        <f t="shared" si="355"/>
        <v>#DIV/0!</v>
      </c>
      <c r="FU175" s="39">
        <v>0</v>
      </c>
      <c r="FV175" s="485" t="e">
        <f t="shared" si="356"/>
        <v>#DIV/0!</v>
      </c>
      <c r="FW175" s="38">
        <f t="shared" si="357"/>
        <v>0</v>
      </c>
      <c r="FX175" s="660" t="e">
        <f t="shared" si="358"/>
        <v>#DIV/0!</v>
      </c>
      <c r="FY175" s="39">
        <f t="shared" si="359"/>
        <v>0</v>
      </c>
      <c r="FZ175" s="660" t="e">
        <f t="shared" si="360"/>
        <v>#DIV/0!</v>
      </c>
      <c r="GA175" s="39">
        <f t="shared" si="361"/>
        <v>0</v>
      </c>
      <c r="GB175" s="485" t="e">
        <f t="shared" si="362"/>
        <v>#DIV/0!</v>
      </c>
      <c r="GC175" s="39">
        <v>0</v>
      </c>
      <c r="GD175" s="485" t="e">
        <f t="shared" si="376"/>
        <v>#DIV/0!</v>
      </c>
      <c r="GE175" s="82"/>
      <c r="GF175" s="498"/>
      <c r="GG175" s="82">
        <f t="shared" si="363"/>
        <v>0</v>
      </c>
      <c r="GH175" s="498" t="e">
        <f t="shared" si="364"/>
        <v>#DIV/0!</v>
      </c>
      <c r="GI175" s="90">
        <f t="shared" si="365"/>
        <v>0</v>
      </c>
      <c r="GJ175" s="485" t="e">
        <f t="shared" si="366"/>
        <v>#DIV/0!</v>
      </c>
      <c r="GK175" s="90">
        <f t="shared" si="367"/>
        <v>0</v>
      </c>
      <c r="GL175" s="485" t="e">
        <f t="shared" si="368"/>
        <v>#DIV/0!</v>
      </c>
      <c r="GM175" s="90">
        <f t="shared" si="369"/>
        <v>0</v>
      </c>
      <c r="GN175" s="485" t="e">
        <f t="shared" si="370"/>
        <v>#DIV/0!</v>
      </c>
      <c r="GO175" s="90">
        <f t="shared" si="371"/>
        <v>0</v>
      </c>
      <c r="GP175" s="485" t="e">
        <f t="shared" si="372"/>
        <v>#DIV/0!</v>
      </c>
      <c r="GQ175" s="144"/>
      <c r="GR175" s="144"/>
      <c r="GS175" s="144"/>
      <c r="GT175" s="144"/>
      <c r="GU175" s="144">
        <f t="shared" si="377"/>
        <v>0</v>
      </c>
      <c r="GV175" s="153">
        <f>GV176+GV180+GV183</f>
        <v>0</v>
      </c>
      <c r="GW175" s="153"/>
      <c r="GX175" s="153">
        <f>GX176+GX180+GX183</f>
        <v>0</v>
      </c>
      <c r="GY175" s="153"/>
      <c r="GZ175" s="153"/>
      <c r="HA175" s="153"/>
      <c r="HB175" s="153"/>
      <c r="HC175" s="153"/>
      <c r="HD175" s="153"/>
      <c r="HE175" s="153"/>
      <c r="HF175" s="153"/>
      <c r="HG175" s="144">
        <f t="shared" si="378"/>
        <v>0</v>
      </c>
      <c r="HH175" s="153">
        <f>HP175-GV175</f>
        <v>0</v>
      </c>
      <c r="HI175" s="153"/>
      <c r="HJ175" s="153">
        <f>HJ176+HJ180+HJ183</f>
        <v>0</v>
      </c>
      <c r="HK175" s="153">
        <f>HK176+HK180+HK183</f>
        <v>0</v>
      </c>
      <c r="HL175" s="153">
        <f>IF175-GZ175</f>
        <v>0</v>
      </c>
      <c r="HM175" s="153"/>
      <c r="HN175" s="153">
        <f>HN176+HN180+HN183</f>
        <v>0</v>
      </c>
      <c r="HO175" s="144">
        <f t="shared" si="379"/>
        <v>0</v>
      </c>
      <c r="HP175" s="153">
        <f>HP176+HP180+HP183</f>
        <v>0</v>
      </c>
      <c r="HQ175" s="153"/>
      <c r="HR175" s="153">
        <f>HR176+HR180+HR183</f>
        <v>0</v>
      </c>
      <c r="HS175" s="153">
        <f>HS176+HS180+HS183</f>
        <v>0</v>
      </c>
      <c r="HT175" s="153">
        <f>HT176+HT180+HT183</f>
        <v>0</v>
      </c>
      <c r="HU175" s="153"/>
      <c r="HV175" s="153">
        <f>HV176+HV180+HV183</f>
        <v>0</v>
      </c>
      <c r="HW175" s="153">
        <f>HW176+HW180+HW183</f>
        <v>0</v>
      </c>
      <c r="HX175" s="153">
        <f>IR175-HL175</f>
        <v>0</v>
      </c>
      <c r="HY175" s="153"/>
      <c r="HZ175" s="153">
        <f>HZ176+HZ180+HZ183</f>
        <v>0</v>
      </c>
      <c r="IA175" s="153">
        <f>IA176+IA180+IA183</f>
        <v>0</v>
      </c>
      <c r="IB175" s="153">
        <f>IB176+IB180+IB183</f>
        <v>0</v>
      </c>
      <c r="IC175" s="153"/>
      <c r="ID175" s="153">
        <f>ID176+ID180+ID183</f>
        <v>0</v>
      </c>
      <c r="IE175" s="216"/>
      <c r="IF175" s="204"/>
      <c r="IG175" s="204"/>
      <c r="IH175" s="204"/>
    </row>
    <row r="176" spans="2:242" s="177" customFormat="1" ht="116.25" hidden="1" customHeight="1" x14ac:dyDescent="0.25">
      <c r="B176" s="100" t="s">
        <v>76</v>
      </c>
      <c r="C176" s="101" t="s">
        <v>281</v>
      </c>
      <c r="D176" s="102" t="s">
        <v>282</v>
      </c>
      <c r="E176" s="103">
        <f>F176+G176</f>
        <v>0</v>
      </c>
      <c r="F176" s="104">
        <f>SUM(F177:F179)</f>
        <v>0</v>
      </c>
      <c r="G176" s="104">
        <f>SUM(G177:G179)</f>
        <v>0</v>
      </c>
      <c r="H176" s="103">
        <f>I176+J176</f>
        <v>0</v>
      </c>
      <c r="I176" s="104">
        <f>SUM(I177:I179)</f>
        <v>0</v>
      </c>
      <c r="J176" s="104"/>
      <c r="K176" s="103">
        <f>L176+M176</f>
        <v>0</v>
      </c>
      <c r="L176" s="104">
        <f>SUM(L177:L179)</f>
        <v>0</v>
      </c>
      <c r="M176" s="104">
        <f>SUM(M177:M179)</f>
        <v>0</v>
      </c>
      <c r="N176" s="103">
        <f>O176+P176</f>
        <v>0</v>
      </c>
      <c r="O176" s="104">
        <f>SUM(O177:O179)</f>
        <v>0</v>
      </c>
      <c r="P176" s="104"/>
      <c r="Q176" s="105">
        <f>R176+S176</f>
        <v>0</v>
      </c>
      <c r="R176" s="106">
        <f>SUM(R177:R179)</f>
        <v>0</v>
      </c>
      <c r="S176" s="106">
        <f>SUM(S177:S179)</f>
        <v>0</v>
      </c>
      <c r="T176" s="105">
        <f>U176+V176</f>
        <v>0</v>
      </c>
      <c r="U176" s="106">
        <f>SUM(U177:U179)</f>
        <v>0</v>
      </c>
      <c r="V176" s="106">
        <f>SUM(V177:V179)</f>
        <v>0</v>
      </c>
      <c r="W176" s="105">
        <f>X176+Y176</f>
        <v>0</v>
      </c>
      <c r="X176" s="106">
        <f>SUM(X177:X179)</f>
        <v>0</v>
      </c>
      <c r="Y176" s="106"/>
      <c r="Z176" s="105">
        <f>AA176+AB176</f>
        <v>0</v>
      </c>
      <c r="AA176" s="106">
        <f t="shared" ref="AA176:AH176" si="382">SUM(AA177:AA179)</f>
        <v>0</v>
      </c>
      <c r="AB176" s="106">
        <f t="shared" si="382"/>
        <v>0</v>
      </c>
      <c r="AC176" s="106">
        <f t="shared" si="382"/>
        <v>0</v>
      </c>
      <c r="AD176" s="106">
        <f t="shared" si="382"/>
        <v>0</v>
      </c>
      <c r="AE176" s="106">
        <f t="shared" si="382"/>
        <v>0</v>
      </c>
      <c r="AF176" s="106">
        <f t="shared" si="382"/>
        <v>0</v>
      </c>
      <c r="AG176" s="106">
        <f t="shared" si="382"/>
        <v>0</v>
      </c>
      <c r="AH176" s="106">
        <f t="shared" si="382"/>
        <v>0</v>
      </c>
      <c r="AI176" s="106">
        <f>AA176-AJ176</f>
        <v>0</v>
      </c>
      <c r="AJ176" s="106">
        <f>SUM(AJ177:AJ179)</f>
        <v>0</v>
      </c>
      <c r="AK176" s="106">
        <f>Z176-AJ176</f>
        <v>0</v>
      </c>
      <c r="AL176" s="106">
        <f>AA176-AK176</f>
        <v>0</v>
      </c>
      <c r="AM176" s="746" t="s">
        <v>283</v>
      </c>
      <c r="AN176" s="108" t="s">
        <v>283</v>
      </c>
      <c r="AO176" s="109">
        <v>1</v>
      </c>
      <c r="AP176" s="108"/>
      <c r="AQ176" s="108"/>
      <c r="AR176" s="108"/>
      <c r="AS176" s="105">
        <f>AT176+AU176</f>
        <v>0</v>
      </c>
      <c r="AT176" s="106">
        <f>SUM(AT177:AT179)</f>
        <v>0</v>
      </c>
      <c r="AU176" s="106">
        <f>SUM(AU177:AU179)</f>
        <v>0</v>
      </c>
      <c r="AV176" s="105">
        <f>AW176+AX176</f>
        <v>0</v>
      </c>
      <c r="AW176" s="106">
        <f>SUM(AW177:AW179)</f>
        <v>0</v>
      </c>
      <c r="AX176" s="106"/>
      <c r="AY176" s="105">
        <f>AZ176+BA176</f>
        <v>0</v>
      </c>
      <c r="AZ176" s="106">
        <f>SUM(AZ177:AZ179)</f>
        <v>0</v>
      </c>
      <c r="BA176" s="106">
        <f>SUM(BA177:BA179)</f>
        <v>0</v>
      </c>
      <c r="BB176" s="105">
        <f>BC176+BD176</f>
        <v>10000</v>
      </c>
      <c r="BC176" s="106">
        <f>SUM(BC177:BC179)</f>
        <v>10000</v>
      </c>
      <c r="BD176" s="106">
        <f>SUM(BD177:BD179)</f>
        <v>0</v>
      </c>
      <c r="BE176" s="105">
        <f>BF176+BG176</f>
        <v>10000</v>
      </c>
      <c r="BF176" s="106">
        <f>SUM(BF177:BF179)</f>
        <v>10000</v>
      </c>
      <c r="BG176" s="106"/>
      <c r="BH176" s="105">
        <f>BI176+BJ176</f>
        <v>10000</v>
      </c>
      <c r="BI176" s="106">
        <f>SUM(BI177:BI179)</f>
        <v>10000</v>
      </c>
      <c r="BJ176" s="106">
        <f>SUM(BJ177:BJ179)</f>
        <v>0</v>
      </c>
      <c r="BK176" s="110">
        <v>1</v>
      </c>
      <c r="BL176" s="106">
        <f>AZ176</f>
        <v>0</v>
      </c>
      <c r="BM176" s="106"/>
      <c r="BN176" s="106"/>
      <c r="BO176" s="106"/>
      <c r="BP176" s="106"/>
      <c r="BQ176" s="106"/>
      <c r="BR176" s="106"/>
      <c r="BS176" s="106">
        <f>BT176+BU176</f>
        <v>10000</v>
      </c>
      <c r="BT176" s="106">
        <f>BI176</f>
        <v>10000</v>
      </c>
      <c r="BU176" s="106"/>
      <c r="BV176" s="105">
        <f>BW176+BX176</f>
        <v>9500</v>
      </c>
      <c r="BW176" s="106">
        <f>SUM(BW177:BW179)</f>
        <v>9500</v>
      </c>
      <c r="BX176" s="106">
        <f>SUM(BX177:BX179)</f>
        <v>0</v>
      </c>
      <c r="BY176" s="105">
        <f>BZ176+CA176</f>
        <v>0</v>
      </c>
      <c r="BZ176" s="106">
        <f>SUM(BZ177:BZ179)</f>
        <v>0</v>
      </c>
      <c r="CA176" s="106"/>
      <c r="CB176" s="105">
        <f>CC176+CD176</f>
        <v>10000</v>
      </c>
      <c r="CC176" s="106">
        <f>SUM(CC177:CC179)</f>
        <v>10000</v>
      </c>
      <c r="CD176" s="106">
        <f>SUM(CD177:CD179)</f>
        <v>0</v>
      </c>
      <c r="CE176" s="106">
        <v>1</v>
      </c>
      <c r="CF176" s="106">
        <f>CB176</f>
        <v>10000</v>
      </c>
      <c r="CG176" s="108"/>
      <c r="CH176" s="105">
        <f>CI176+CJ176</f>
        <v>10000</v>
      </c>
      <c r="CI176" s="106">
        <f>SUM(CI177:CI179)</f>
        <v>10000</v>
      </c>
      <c r="CJ176" s="106">
        <f>SUM(CJ177:CJ179)</f>
        <v>0</v>
      </c>
      <c r="CK176" s="105">
        <f>CL176+CM176</f>
        <v>0</v>
      </c>
      <c r="CL176" s="106">
        <f>SUM(CL177:CL179)</f>
        <v>0</v>
      </c>
      <c r="CM176" s="106"/>
      <c r="CN176" s="106"/>
      <c r="CO176" s="106"/>
      <c r="CP176" s="106"/>
      <c r="CQ176" s="105">
        <f>CR176+CS176</f>
        <v>10000</v>
      </c>
      <c r="CR176" s="106">
        <f>SUM(CR177:CR179)</f>
        <v>10000</v>
      </c>
      <c r="CS176" s="106">
        <f>SUM(CS177:CS179)</f>
        <v>0</v>
      </c>
      <c r="CT176" s="105">
        <f>CU176+CV176</f>
        <v>58940.349260000003</v>
      </c>
      <c r="CU176" s="106">
        <f>CU177+CU179</f>
        <v>58940.349260000003</v>
      </c>
      <c r="CV176" s="106"/>
      <c r="CW176" s="105">
        <f t="shared" ref="CW176:CW185" si="383">CX176+CY176</f>
        <v>154462.08046999999</v>
      </c>
      <c r="CX176" s="106">
        <f>SUM(CX177:CX179)</f>
        <v>154462.08046999999</v>
      </c>
      <c r="CY176" s="106">
        <f>SUM(CY177:CY179)</f>
        <v>0</v>
      </c>
      <c r="CZ176" s="105">
        <f>DA176+DB176</f>
        <v>10000</v>
      </c>
      <c r="DA176" s="106">
        <f>SUM(DA177:DA179)</f>
        <v>10000</v>
      </c>
      <c r="DB176" s="106">
        <f>SUM(DB177:DB179)</f>
        <v>0</v>
      </c>
      <c r="DC176" s="106">
        <f>DD176+DE176</f>
        <v>166307.16456999999</v>
      </c>
      <c r="DD176" s="106">
        <f>DD177</f>
        <v>166307.16456999999</v>
      </c>
      <c r="DE176" s="106"/>
      <c r="DF176" s="105">
        <f t="shared" ref="DF176:DF185" si="384">DG176+DH176</f>
        <v>-154462.08046999999</v>
      </c>
      <c r="DG176" s="106">
        <f>SUM(DG177:DG179)</f>
        <v>-154462.08046999999</v>
      </c>
      <c r="DH176" s="106">
        <f>SUM(DH177:DH179)</f>
        <v>0</v>
      </c>
      <c r="DI176" s="105">
        <f t="shared" ref="DI176:DI185" si="385">DJ176+DK176</f>
        <v>0</v>
      </c>
      <c r="DJ176" s="106">
        <f>SUM(DJ177:DJ179)</f>
        <v>0</v>
      </c>
      <c r="DK176" s="106">
        <f>SUM(DK177:DK179)</f>
        <v>0</v>
      </c>
      <c r="DL176" s="105">
        <f t="shared" ref="DL176:DL185" si="386">DM176+DN176</f>
        <v>62810.349260000003</v>
      </c>
      <c r="DM176" s="106">
        <f>SUM(DM177:DM179)</f>
        <v>62810.349260000003</v>
      </c>
      <c r="DN176" s="106">
        <f>SUM(DN177:DN179)</f>
        <v>0</v>
      </c>
      <c r="DO176" s="105">
        <f t="shared" ref="DO176:DO185" si="387">DP176+DQ176</f>
        <v>-62810.349260000003</v>
      </c>
      <c r="DP176" s="106">
        <f>SUM(DP177:DP179)</f>
        <v>-62810.349260000003</v>
      </c>
      <c r="DQ176" s="106">
        <f>SUM(DQ177:DQ179)</f>
        <v>0</v>
      </c>
      <c r="DR176" s="105">
        <f>DS176+DT176</f>
        <v>0</v>
      </c>
      <c r="DS176" s="106">
        <f>SUM(DS177:DS179)</f>
        <v>0</v>
      </c>
      <c r="DT176" s="106">
        <f>SUM(DT177:DT179)</f>
        <v>0</v>
      </c>
      <c r="DU176" s="105">
        <f>DV176+DW176</f>
        <v>184693.69399999999</v>
      </c>
      <c r="DV176" s="106">
        <f>SUM(DV177:DV179)</f>
        <v>184693.69399999999</v>
      </c>
      <c r="DW176" s="106"/>
      <c r="DX176" s="105">
        <f>DY176+DZ176</f>
        <v>12000</v>
      </c>
      <c r="DY176" s="106">
        <f>SUM(DY177:DY179)</f>
        <v>12000</v>
      </c>
      <c r="DZ176" s="106">
        <f>SUM(DZ177:DZ179)</f>
        <v>0</v>
      </c>
      <c r="EA176" s="106">
        <f>EB176+EC176</f>
        <v>363493.84052999999</v>
      </c>
      <c r="EB176" s="106">
        <f>EB177</f>
        <v>363493.84052999999</v>
      </c>
      <c r="EC176" s="106"/>
      <c r="ED176" s="106">
        <f>EE176</f>
        <v>-184693.69399999999</v>
      </c>
      <c r="EE176" s="106">
        <f>EE177+EE178+EE179</f>
        <v>-184693.69399999999</v>
      </c>
      <c r="EF176" s="106"/>
      <c r="EG176" s="106">
        <f>EH176</f>
        <v>0</v>
      </c>
      <c r="EH176" s="106">
        <f>EH177+EH178+EH179</f>
        <v>0</v>
      </c>
      <c r="EI176" s="106"/>
      <c r="EJ176" s="106"/>
      <c r="EK176" s="105">
        <f>EL176+EN176</f>
        <v>0</v>
      </c>
      <c r="EL176" s="106">
        <f>SUM(EL177:EL179)</f>
        <v>0</v>
      </c>
      <c r="EM176" s="106"/>
      <c r="EN176" s="106">
        <f>SUM(EN177:EN179)</f>
        <v>0</v>
      </c>
      <c r="EO176" s="105">
        <f>EP176+ER176</f>
        <v>0</v>
      </c>
      <c r="EP176" s="106">
        <f>SUM(EP177:EP179)</f>
        <v>0</v>
      </c>
      <c r="EQ176" s="106"/>
      <c r="ER176" s="106">
        <f>SUM(ER177:ER179)</f>
        <v>0</v>
      </c>
      <c r="ES176" s="104">
        <f t="shared" ref="ES176:ES184" si="388">ET176+EV176</f>
        <v>0</v>
      </c>
      <c r="ET176" s="106">
        <f>ET177+ET179+ET178</f>
        <v>0</v>
      </c>
      <c r="EU176" s="106"/>
      <c r="EV176" s="106"/>
      <c r="EW176" s="105">
        <f t="shared" ref="EW176:EW185" si="389">EX176+EY176</f>
        <v>477401.12247</v>
      </c>
      <c r="EX176" s="106">
        <f>SUM(EX177:EX179)</f>
        <v>477401.12247</v>
      </c>
      <c r="EY176" s="106">
        <f>SUM(EY177:EY179)</f>
        <v>0</v>
      </c>
      <c r="EZ176" s="106">
        <f>FA176</f>
        <v>-477401.12247</v>
      </c>
      <c r="FA176" s="106">
        <f>FA177+FA178+FA179</f>
        <v>-477401.12247</v>
      </c>
      <c r="FB176" s="106"/>
      <c r="FC176" s="143">
        <f t="shared" si="373"/>
        <v>0</v>
      </c>
      <c r="FD176" s="104">
        <f>FD177+FD178+FD179</f>
        <v>0</v>
      </c>
      <c r="FE176" s="104"/>
      <c r="FF176" s="104"/>
      <c r="FG176" s="103">
        <f>FH176+FJ176</f>
        <v>0</v>
      </c>
      <c r="FH176" s="104">
        <f>SUM(FH177:FH179)</f>
        <v>0</v>
      </c>
      <c r="FI176" s="104"/>
      <c r="FJ176" s="104">
        <f>SUM(FJ177:FJ179)</f>
        <v>0</v>
      </c>
      <c r="FK176" s="103">
        <f>FL176+FN176</f>
        <v>0</v>
      </c>
      <c r="FL176" s="104">
        <f>SUM(FL177:FL179)</f>
        <v>0</v>
      </c>
      <c r="FM176" s="104"/>
      <c r="FN176" s="104">
        <f>SUM(FN177:FN179)</f>
        <v>0</v>
      </c>
      <c r="FO176" s="143">
        <f t="shared" si="374"/>
        <v>0</v>
      </c>
      <c r="FP176" s="104">
        <f>FP177+FP178+FP179</f>
        <v>0</v>
      </c>
      <c r="FQ176" s="104"/>
      <c r="FR176" s="143">
        <f t="shared" si="375"/>
        <v>0</v>
      </c>
      <c r="FS176" s="39">
        <f t="shared" si="338"/>
        <v>0</v>
      </c>
      <c r="FT176" s="485" t="e">
        <f t="shared" si="355"/>
        <v>#DIV/0!</v>
      </c>
      <c r="FU176" s="39">
        <v>0</v>
      </c>
      <c r="FV176" s="485" t="e">
        <f t="shared" si="356"/>
        <v>#DIV/0!</v>
      </c>
      <c r="FW176" s="38">
        <f t="shared" si="357"/>
        <v>0</v>
      </c>
      <c r="FX176" s="660" t="e">
        <f t="shared" si="358"/>
        <v>#DIV/0!</v>
      </c>
      <c r="FY176" s="39">
        <f t="shared" si="359"/>
        <v>0</v>
      </c>
      <c r="FZ176" s="660" t="e">
        <f t="shared" si="360"/>
        <v>#DIV/0!</v>
      </c>
      <c r="GA176" s="39">
        <f t="shared" si="361"/>
        <v>0</v>
      </c>
      <c r="GB176" s="485" t="e">
        <f t="shared" si="362"/>
        <v>#DIV/0!</v>
      </c>
      <c r="GC176" s="39">
        <v>0</v>
      </c>
      <c r="GD176" s="485" t="e">
        <f t="shared" si="376"/>
        <v>#DIV/0!</v>
      </c>
      <c r="GE176" s="82"/>
      <c r="GF176" s="498"/>
      <c r="GG176" s="82">
        <f t="shared" si="363"/>
        <v>0</v>
      </c>
      <c r="GH176" s="498" t="e">
        <f t="shared" si="364"/>
        <v>#DIV/0!</v>
      </c>
      <c r="GI176" s="90">
        <f t="shared" si="365"/>
        <v>0</v>
      </c>
      <c r="GJ176" s="485" t="e">
        <f t="shared" si="366"/>
        <v>#DIV/0!</v>
      </c>
      <c r="GK176" s="90">
        <f t="shared" si="367"/>
        <v>0</v>
      </c>
      <c r="GL176" s="485" t="e">
        <f t="shared" si="368"/>
        <v>#DIV/0!</v>
      </c>
      <c r="GM176" s="90">
        <f t="shared" si="369"/>
        <v>0</v>
      </c>
      <c r="GN176" s="485" t="e">
        <f t="shared" si="370"/>
        <v>#DIV/0!</v>
      </c>
      <c r="GO176" s="90">
        <f t="shared" si="371"/>
        <v>0</v>
      </c>
      <c r="GP176" s="485" t="e">
        <f t="shared" si="372"/>
        <v>#DIV/0!</v>
      </c>
      <c r="GQ176" s="144"/>
      <c r="GR176" s="144"/>
      <c r="GS176" s="144"/>
      <c r="GT176" s="144"/>
      <c r="GU176" s="144">
        <f t="shared" si="377"/>
        <v>0</v>
      </c>
      <c r="GV176" s="106">
        <f>GV177+GV178+GV179</f>
        <v>0</v>
      </c>
      <c r="GW176" s="106"/>
      <c r="GX176" s="106"/>
      <c r="GY176" s="106"/>
      <c r="GZ176" s="106"/>
      <c r="HA176" s="106"/>
      <c r="HB176" s="106"/>
      <c r="HC176" s="106"/>
      <c r="HD176" s="106"/>
      <c r="HE176" s="106"/>
      <c r="HF176" s="106"/>
      <c r="HG176" s="144">
        <f t="shared" si="378"/>
        <v>0</v>
      </c>
      <c r="HH176" s="106">
        <f>HH177+HH178+HH179</f>
        <v>0</v>
      </c>
      <c r="HI176" s="106"/>
      <c r="HJ176" s="106"/>
      <c r="HK176" s="106">
        <f>HL176</f>
        <v>0</v>
      </c>
      <c r="HL176" s="106">
        <f>HL177+HL178+HL179</f>
        <v>0</v>
      </c>
      <c r="HM176" s="106"/>
      <c r="HN176" s="106"/>
      <c r="HO176" s="144">
        <f t="shared" si="379"/>
        <v>0</v>
      </c>
      <c r="HP176" s="106">
        <f>HP177+HP178+HP179</f>
        <v>0</v>
      </c>
      <c r="HQ176" s="106"/>
      <c r="HR176" s="106"/>
      <c r="HS176" s="106">
        <f>HT176</f>
        <v>0</v>
      </c>
      <c r="HT176" s="106">
        <f>HT177+HT178+HT179</f>
        <v>0</v>
      </c>
      <c r="HU176" s="106"/>
      <c r="HV176" s="106"/>
      <c r="HW176" s="106">
        <f>HX176</f>
        <v>0</v>
      </c>
      <c r="HX176" s="106">
        <f>HX177+HX178+HX179</f>
        <v>0</v>
      </c>
      <c r="HY176" s="106"/>
      <c r="HZ176" s="106"/>
      <c r="IA176" s="106">
        <f>IB176</f>
        <v>0</v>
      </c>
      <c r="IB176" s="106">
        <f>IB177+IB178+IB179</f>
        <v>0</v>
      </c>
      <c r="IC176" s="106"/>
      <c r="ID176" s="106"/>
      <c r="IE176" s="229" t="s">
        <v>284</v>
      </c>
      <c r="IF176" s="113"/>
      <c r="IG176" s="113"/>
      <c r="IH176" s="113"/>
    </row>
    <row r="177" spans="2:249" s="171" customFormat="1" ht="15" hidden="1" customHeight="1" x14ac:dyDescent="0.25">
      <c r="B177" s="160"/>
      <c r="C177" s="161" t="s">
        <v>146</v>
      </c>
      <c r="D177" s="162"/>
      <c r="E177" s="163">
        <f>F177+G177</f>
        <v>0</v>
      </c>
      <c r="F177" s="163"/>
      <c r="G177" s="163"/>
      <c r="H177" s="163">
        <f>I177+J177</f>
        <v>0</v>
      </c>
      <c r="I177" s="163">
        <f>L177-F177</f>
        <v>0</v>
      </c>
      <c r="J177" s="163"/>
      <c r="K177" s="163">
        <f>L177+M177</f>
        <v>0</v>
      </c>
      <c r="L177" s="163"/>
      <c r="M177" s="163"/>
      <c r="N177" s="163">
        <f>O177+P177</f>
        <v>0</v>
      </c>
      <c r="O177" s="163">
        <f>R177-L177</f>
        <v>0</v>
      </c>
      <c r="P177" s="163"/>
      <c r="Q177" s="164">
        <f>R177+S177</f>
        <v>0</v>
      </c>
      <c r="R177" s="164"/>
      <c r="S177" s="164"/>
      <c r="T177" s="164">
        <f>U177+V177</f>
        <v>0</v>
      </c>
      <c r="U177" s="164"/>
      <c r="V177" s="164"/>
      <c r="W177" s="164">
        <f>X177+Y177</f>
        <v>0</v>
      </c>
      <c r="X177" s="164">
        <f>AA177-U177</f>
        <v>0</v>
      </c>
      <c r="Y177" s="164"/>
      <c r="Z177" s="164">
        <f>AA177+AB177</f>
        <v>0</v>
      </c>
      <c r="AA177" s="164"/>
      <c r="AB177" s="164"/>
      <c r="AC177" s="164">
        <f>AD177+AE177</f>
        <v>0</v>
      </c>
      <c r="AD177" s="164"/>
      <c r="AE177" s="164"/>
      <c r="AF177" s="164">
        <f>AG177+AH177</f>
        <v>0</v>
      </c>
      <c r="AG177" s="164"/>
      <c r="AH177" s="164"/>
      <c r="AI177" s="165">
        <f>AA177-AJ177</f>
        <v>0</v>
      </c>
      <c r="AJ177" s="164"/>
      <c r="AK177" s="165">
        <f>Z177-AJ177</f>
        <v>0</v>
      </c>
      <c r="AL177" s="165">
        <f>AA177-AK177</f>
        <v>0</v>
      </c>
      <c r="AM177" s="746"/>
      <c r="AN177" s="164"/>
      <c r="AO177" s="166">
        <v>1</v>
      </c>
      <c r="AP177" s="164"/>
      <c r="AQ177" s="164"/>
      <c r="AR177" s="164"/>
      <c r="AS177" s="164">
        <f>AT177+AU177</f>
        <v>0</v>
      </c>
      <c r="AT177" s="164"/>
      <c r="AU177" s="164"/>
      <c r="AV177" s="164">
        <f>AW177+AX177</f>
        <v>0</v>
      </c>
      <c r="AW177" s="164">
        <f>AZ177-AT177</f>
        <v>0</v>
      </c>
      <c r="AX177" s="164"/>
      <c r="AY177" s="164">
        <f>AZ177+BA177</f>
        <v>0</v>
      </c>
      <c r="AZ177" s="164"/>
      <c r="BA177" s="164"/>
      <c r="BB177" s="164">
        <f>BC177+BD177</f>
        <v>10000</v>
      </c>
      <c r="BC177" s="164">
        <v>10000</v>
      </c>
      <c r="BD177" s="164"/>
      <c r="BE177" s="164">
        <f>BF177+BG177</f>
        <v>0</v>
      </c>
      <c r="BF177" s="164"/>
      <c r="BG177" s="164"/>
      <c r="BH177" s="164">
        <f>BI177+BJ177</f>
        <v>0</v>
      </c>
      <c r="BI177" s="164">
        <v>0</v>
      </c>
      <c r="BJ177" s="164"/>
      <c r="BK177" s="167">
        <v>1</v>
      </c>
      <c r="BL177" s="168">
        <f>AZ177</f>
        <v>0</v>
      </c>
      <c r="BM177" s="168"/>
      <c r="BN177" s="168"/>
      <c r="BO177" s="168"/>
      <c r="BP177" s="168"/>
      <c r="BQ177" s="168"/>
      <c r="BR177" s="168"/>
      <c r="BS177" s="168">
        <f>BT177+BU177</f>
        <v>0</v>
      </c>
      <c r="BT177" s="168">
        <v>0</v>
      </c>
      <c r="BU177" s="168"/>
      <c r="BV177" s="164">
        <f>BW177+BX177</f>
        <v>9500</v>
      </c>
      <c r="BW177" s="164">
        <v>9500</v>
      </c>
      <c r="BX177" s="164"/>
      <c r="BY177" s="164">
        <f>BZ177+CA177</f>
        <v>0</v>
      </c>
      <c r="BZ177" s="164">
        <f>CC177-BI177</f>
        <v>0</v>
      </c>
      <c r="CA177" s="164"/>
      <c r="CB177" s="164">
        <f>CC177+CD177</f>
        <v>0</v>
      </c>
      <c r="CC177" s="164">
        <v>0</v>
      </c>
      <c r="CD177" s="164"/>
      <c r="CE177" s="168">
        <v>1</v>
      </c>
      <c r="CF177" s="168">
        <f>CB177</f>
        <v>0</v>
      </c>
      <c r="CG177" s="164"/>
      <c r="CH177" s="164">
        <f>CI177+CJ177</f>
        <v>10000</v>
      </c>
      <c r="CI177" s="164">
        <v>10000</v>
      </c>
      <c r="CJ177" s="164"/>
      <c r="CK177" s="164">
        <f>CL177+CM177</f>
        <v>-2500</v>
      </c>
      <c r="CL177" s="164">
        <f>CR177-CI177</f>
        <v>-2500</v>
      </c>
      <c r="CM177" s="164"/>
      <c r="CN177" s="164"/>
      <c r="CO177" s="164"/>
      <c r="CP177" s="164"/>
      <c r="CQ177" s="164">
        <f>CR177+CS177</f>
        <v>7500</v>
      </c>
      <c r="CR177" s="164">
        <v>7500</v>
      </c>
      <c r="CS177" s="164"/>
      <c r="CT177" s="164">
        <f>CU177+CV177</f>
        <v>58940.349260000003</v>
      </c>
      <c r="CU177" s="164">
        <f>CX177-CC177</f>
        <v>58940.349260000003</v>
      </c>
      <c r="CV177" s="164"/>
      <c r="CW177" s="164">
        <f t="shared" si="383"/>
        <v>58940.349260000003</v>
      </c>
      <c r="CX177" s="164">
        <v>58940.349260000003</v>
      </c>
      <c r="CY177" s="164"/>
      <c r="CZ177" s="164">
        <f>DA177+DB177</f>
        <v>7500</v>
      </c>
      <c r="DA177" s="164">
        <v>7500</v>
      </c>
      <c r="DB177" s="164"/>
      <c r="DC177" s="164">
        <f>DD177+DE177</f>
        <v>166307.16456999999</v>
      </c>
      <c r="DD177" s="164">
        <f>DV177-DA177</f>
        <v>166307.16456999999</v>
      </c>
      <c r="DE177" s="164"/>
      <c r="DF177" s="164">
        <f t="shared" si="384"/>
        <v>-58940.349260000003</v>
      </c>
      <c r="DG177" s="164">
        <f>DJ177-CX177</f>
        <v>-58940.349260000003</v>
      </c>
      <c r="DH177" s="164"/>
      <c r="DI177" s="164">
        <f t="shared" si="385"/>
        <v>0</v>
      </c>
      <c r="DJ177" s="164">
        <v>0</v>
      </c>
      <c r="DK177" s="164"/>
      <c r="DL177" s="164">
        <f t="shared" si="386"/>
        <v>58940.349260000003</v>
      </c>
      <c r="DM177" s="164">
        <v>58940.349260000003</v>
      </c>
      <c r="DN177" s="164"/>
      <c r="DO177" s="164">
        <f t="shared" si="387"/>
        <v>-58940.349260000003</v>
      </c>
      <c r="DP177" s="164">
        <f>DJ177-DM177</f>
        <v>-58940.349260000003</v>
      </c>
      <c r="DQ177" s="164"/>
      <c r="DR177" s="164">
        <f>DS177+DT177</f>
        <v>0</v>
      </c>
      <c r="DS177" s="164">
        <f>DJ177-DM177-DP177</f>
        <v>0</v>
      </c>
      <c r="DT177" s="164"/>
      <c r="DU177" s="164">
        <f>DV177+DW177</f>
        <v>173807.16456999999</v>
      </c>
      <c r="DV177" s="164">
        <v>173807.16456999999</v>
      </c>
      <c r="DW177" s="164"/>
      <c r="DX177" s="164">
        <f>DY177+DZ177</f>
        <v>12000</v>
      </c>
      <c r="DY177" s="164">
        <v>12000</v>
      </c>
      <c r="DZ177" s="164"/>
      <c r="EA177" s="164">
        <f>EB177+EC177</f>
        <v>363493.84052999999</v>
      </c>
      <c r="EB177" s="164">
        <f>EX177-DY177</f>
        <v>363493.84052999999</v>
      </c>
      <c r="EC177" s="164"/>
      <c r="ED177" s="106">
        <f t="shared" ref="ED177:ED182" si="390">EE177</f>
        <v>-173807.16456999999</v>
      </c>
      <c r="EE177" s="164">
        <f>EH177-DV177</f>
        <v>-173807.16456999999</v>
      </c>
      <c r="EF177" s="164"/>
      <c r="EG177" s="164">
        <f>EH177</f>
        <v>0</v>
      </c>
      <c r="EH177" s="164">
        <v>0</v>
      </c>
      <c r="EI177" s="164"/>
      <c r="EJ177" s="164"/>
      <c r="EK177" s="164">
        <f>EL177+EN177</f>
        <v>0</v>
      </c>
      <c r="EL177" s="164"/>
      <c r="EM177" s="164"/>
      <c r="EN177" s="164"/>
      <c r="EO177" s="164">
        <f>EP177+ER177</f>
        <v>0</v>
      </c>
      <c r="EP177" s="164"/>
      <c r="EQ177" s="164"/>
      <c r="ER177" s="164"/>
      <c r="ES177" s="163">
        <f t="shared" si="388"/>
        <v>0</v>
      </c>
      <c r="ET177" s="164">
        <v>0</v>
      </c>
      <c r="EU177" s="164"/>
      <c r="EV177" s="164"/>
      <c r="EW177" s="164">
        <f t="shared" si="389"/>
        <v>375493.84052999999</v>
      </c>
      <c r="EX177" s="164">
        <v>375493.84052999999</v>
      </c>
      <c r="EY177" s="164"/>
      <c r="EZ177" s="164">
        <f>FA177+FB177</f>
        <v>-375493.84052999999</v>
      </c>
      <c r="FA177" s="164">
        <f>FD177-EX177</f>
        <v>-375493.84052999999</v>
      </c>
      <c r="FB177" s="164"/>
      <c r="FC177" s="143">
        <f t="shared" si="373"/>
        <v>0</v>
      </c>
      <c r="FD177" s="163">
        <v>0</v>
      </c>
      <c r="FE177" s="163"/>
      <c r="FF177" s="163"/>
      <c r="FG177" s="163">
        <f>FH177+FJ177</f>
        <v>0</v>
      </c>
      <c r="FH177" s="163"/>
      <c r="FI177" s="163"/>
      <c r="FJ177" s="163"/>
      <c r="FK177" s="163">
        <f>FL177+FN177</f>
        <v>0</v>
      </c>
      <c r="FL177" s="163"/>
      <c r="FM177" s="163"/>
      <c r="FN177" s="163"/>
      <c r="FO177" s="143">
        <f t="shared" si="374"/>
        <v>0</v>
      </c>
      <c r="FP177" s="163">
        <v>0</v>
      </c>
      <c r="FQ177" s="163"/>
      <c r="FR177" s="143">
        <f t="shared" si="375"/>
        <v>0</v>
      </c>
      <c r="FS177" s="39">
        <f t="shared" si="338"/>
        <v>0</v>
      </c>
      <c r="FT177" s="485" t="e">
        <f t="shared" si="355"/>
        <v>#DIV/0!</v>
      </c>
      <c r="FU177" s="39">
        <v>0</v>
      </c>
      <c r="FV177" s="485" t="e">
        <f t="shared" si="356"/>
        <v>#DIV/0!</v>
      </c>
      <c r="FW177" s="38">
        <f t="shared" si="357"/>
        <v>0</v>
      </c>
      <c r="FX177" s="660" t="e">
        <f t="shared" si="358"/>
        <v>#DIV/0!</v>
      </c>
      <c r="FY177" s="39">
        <f t="shared" si="359"/>
        <v>0</v>
      </c>
      <c r="FZ177" s="660" t="e">
        <f t="shared" si="360"/>
        <v>#DIV/0!</v>
      </c>
      <c r="GA177" s="39">
        <f t="shared" si="361"/>
        <v>0</v>
      </c>
      <c r="GB177" s="485" t="e">
        <f t="shared" si="362"/>
        <v>#DIV/0!</v>
      </c>
      <c r="GC177" s="39">
        <v>0</v>
      </c>
      <c r="GD177" s="485" t="e">
        <f t="shared" si="376"/>
        <v>#DIV/0!</v>
      </c>
      <c r="GE177" s="82"/>
      <c r="GF177" s="498"/>
      <c r="GG177" s="82">
        <f t="shared" si="363"/>
        <v>0</v>
      </c>
      <c r="GH177" s="498" t="e">
        <f t="shared" si="364"/>
        <v>#DIV/0!</v>
      </c>
      <c r="GI177" s="90">
        <f t="shared" si="365"/>
        <v>0</v>
      </c>
      <c r="GJ177" s="485" t="e">
        <f t="shared" si="366"/>
        <v>#DIV/0!</v>
      </c>
      <c r="GK177" s="90">
        <f t="shared" si="367"/>
        <v>0</v>
      </c>
      <c r="GL177" s="485" t="e">
        <f t="shared" si="368"/>
        <v>#DIV/0!</v>
      </c>
      <c r="GM177" s="90">
        <f t="shared" si="369"/>
        <v>0</v>
      </c>
      <c r="GN177" s="485" t="e">
        <f t="shared" si="370"/>
        <v>#DIV/0!</v>
      </c>
      <c r="GO177" s="90">
        <f t="shared" si="371"/>
        <v>0</v>
      </c>
      <c r="GP177" s="485" t="e">
        <f t="shared" si="372"/>
        <v>#DIV/0!</v>
      </c>
      <c r="GQ177" s="144"/>
      <c r="GR177" s="144"/>
      <c r="GS177" s="144"/>
      <c r="GT177" s="144"/>
      <c r="GU177" s="144">
        <f t="shared" si="377"/>
        <v>0</v>
      </c>
      <c r="GV177" s="164">
        <v>0</v>
      </c>
      <c r="GW177" s="164"/>
      <c r="GX177" s="164"/>
      <c r="GY177" s="164"/>
      <c r="GZ177" s="164"/>
      <c r="HA177" s="164"/>
      <c r="HB177" s="164"/>
      <c r="HC177" s="164"/>
      <c r="HD177" s="164"/>
      <c r="HE177" s="164"/>
      <c r="HF177" s="164"/>
      <c r="HG177" s="144">
        <f t="shared" si="378"/>
        <v>0</v>
      </c>
      <c r="HH177" s="164">
        <v>0</v>
      </c>
      <c r="HI177" s="164"/>
      <c r="HJ177" s="164"/>
      <c r="HK177" s="164">
        <f>HL177</f>
        <v>0</v>
      </c>
      <c r="HL177" s="164">
        <v>0</v>
      </c>
      <c r="HM177" s="164"/>
      <c r="HN177" s="164"/>
      <c r="HO177" s="144">
        <f t="shared" si="379"/>
        <v>0</v>
      </c>
      <c r="HP177" s="164">
        <v>0</v>
      </c>
      <c r="HQ177" s="164"/>
      <c r="HR177" s="164"/>
      <c r="HS177" s="164">
        <f>HT177</f>
        <v>0</v>
      </c>
      <c r="HT177" s="164">
        <v>0</v>
      </c>
      <c r="HU177" s="164"/>
      <c r="HV177" s="164"/>
      <c r="HW177" s="164">
        <f>HX177</f>
        <v>0</v>
      </c>
      <c r="HX177" s="164">
        <v>0</v>
      </c>
      <c r="HY177" s="164"/>
      <c r="HZ177" s="164"/>
      <c r="IA177" s="164">
        <f>IB177</f>
        <v>0</v>
      </c>
      <c r="IB177" s="164">
        <v>0</v>
      </c>
      <c r="IC177" s="164"/>
      <c r="ID177" s="164"/>
      <c r="IE177" s="200"/>
      <c r="IF177" s="170"/>
      <c r="IG177" s="170"/>
      <c r="IH177" s="170"/>
    </row>
    <row r="178" spans="2:249" s="171" customFormat="1" ht="45.75" hidden="1" customHeight="1" x14ac:dyDescent="0.25">
      <c r="B178" s="160"/>
      <c r="C178" s="161" t="s">
        <v>161</v>
      </c>
      <c r="D178" s="162"/>
      <c r="E178" s="163"/>
      <c r="F178" s="163"/>
      <c r="G178" s="163"/>
      <c r="H178" s="163"/>
      <c r="I178" s="163"/>
      <c r="J178" s="163"/>
      <c r="K178" s="163"/>
      <c r="L178" s="163"/>
      <c r="M178" s="163"/>
      <c r="N178" s="163"/>
      <c r="O178" s="163"/>
      <c r="P178" s="163"/>
      <c r="Q178" s="164"/>
      <c r="R178" s="164"/>
      <c r="S178" s="164"/>
      <c r="T178" s="164"/>
      <c r="U178" s="164"/>
      <c r="V178" s="164"/>
      <c r="W178" s="164"/>
      <c r="X178" s="164"/>
      <c r="Y178" s="164"/>
      <c r="Z178" s="164"/>
      <c r="AA178" s="164"/>
      <c r="AB178" s="164"/>
      <c r="AC178" s="164"/>
      <c r="AD178" s="164"/>
      <c r="AE178" s="164"/>
      <c r="AF178" s="164"/>
      <c r="AG178" s="164"/>
      <c r="AH178" s="164"/>
      <c r="AI178" s="165"/>
      <c r="AJ178" s="164"/>
      <c r="AK178" s="165"/>
      <c r="AL178" s="165"/>
      <c r="AM178" s="746"/>
      <c r="AN178" s="164"/>
      <c r="AO178" s="166"/>
      <c r="AP178" s="164"/>
      <c r="AQ178" s="164"/>
      <c r="AR178" s="164"/>
      <c r="AS178" s="164"/>
      <c r="AT178" s="164"/>
      <c r="AU178" s="164"/>
      <c r="AV178" s="164"/>
      <c r="AW178" s="164"/>
      <c r="AX178" s="164"/>
      <c r="AY178" s="164"/>
      <c r="AZ178" s="164"/>
      <c r="BA178" s="164"/>
      <c r="BB178" s="164"/>
      <c r="BC178" s="164"/>
      <c r="BD178" s="164"/>
      <c r="BE178" s="164"/>
      <c r="BF178" s="164"/>
      <c r="BG178" s="164"/>
      <c r="BH178" s="164"/>
      <c r="BI178" s="164"/>
      <c r="BJ178" s="164"/>
      <c r="BK178" s="167"/>
      <c r="BL178" s="168"/>
      <c r="BM178" s="168"/>
      <c r="BN178" s="168"/>
      <c r="BO178" s="168"/>
      <c r="BP178" s="168"/>
      <c r="BQ178" s="168"/>
      <c r="BR178" s="168"/>
      <c r="BS178" s="168"/>
      <c r="BT178" s="168"/>
      <c r="BU178" s="168"/>
      <c r="BV178" s="164"/>
      <c r="BW178" s="164"/>
      <c r="BX178" s="164"/>
      <c r="BY178" s="164"/>
      <c r="BZ178" s="164"/>
      <c r="CA178" s="164"/>
      <c r="CB178" s="164"/>
      <c r="CC178" s="164"/>
      <c r="CD178" s="164"/>
      <c r="CE178" s="168"/>
      <c r="CF178" s="168"/>
      <c r="CG178" s="164"/>
      <c r="CH178" s="164"/>
      <c r="CI178" s="164"/>
      <c r="CJ178" s="164"/>
      <c r="CK178" s="164"/>
      <c r="CL178" s="164"/>
      <c r="CM178" s="164"/>
      <c r="CN178" s="164"/>
      <c r="CO178" s="164"/>
      <c r="CP178" s="164"/>
      <c r="CQ178" s="164"/>
      <c r="CR178" s="164"/>
      <c r="CS178" s="164"/>
      <c r="CT178" s="164"/>
      <c r="CU178" s="164"/>
      <c r="CV178" s="164"/>
      <c r="CW178" s="164">
        <f t="shared" si="383"/>
        <v>46525.871030000002</v>
      </c>
      <c r="CX178" s="164">
        <v>46525.871030000002</v>
      </c>
      <c r="CY178" s="164"/>
      <c r="CZ178" s="164"/>
      <c r="DA178" s="164"/>
      <c r="DB178" s="164"/>
      <c r="DC178" s="164"/>
      <c r="DD178" s="164"/>
      <c r="DE178" s="164"/>
      <c r="DF178" s="164">
        <f t="shared" si="384"/>
        <v>-46525.871030000002</v>
      </c>
      <c r="DG178" s="164">
        <f>DJ178-CX178</f>
        <v>-46525.871030000002</v>
      </c>
      <c r="DH178" s="164"/>
      <c r="DI178" s="164">
        <f t="shared" si="385"/>
        <v>0</v>
      </c>
      <c r="DJ178" s="164">
        <v>0</v>
      </c>
      <c r="DK178" s="164"/>
      <c r="DL178" s="164">
        <f t="shared" si="386"/>
        <v>0</v>
      </c>
      <c r="DM178" s="164">
        <v>0</v>
      </c>
      <c r="DN178" s="164"/>
      <c r="DO178" s="164">
        <f t="shared" si="387"/>
        <v>0</v>
      </c>
      <c r="DP178" s="164">
        <v>0</v>
      </c>
      <c r="DQ178" s="164"/>
      <c r="DR178" s="164">
        <f>DS178</f>
        <v>0</v>
      </c>
      <c r="DS178" s="164">
        <f>DJ178-DM178-DP178</f>
        <v>0</v>
      </c>
      <c r="DT178" s="164"/>
      <c r="DU178" s="164"/>
      <c r="DV178" s="164">
        <f>102500-92496.306</f>
        <v>10003.694000000003</v>
      </c>
      <c r="DW178" s="164"/>
      <c r="DX178" s="164"/>
      <c r="DY178" s="164"/>
      <c r="DZ178" s="164"/>
      <c r="EA178" s="164"/>
      <c r="EB178" s="164"/>
      <c r="EC178" s="164"/>
      <c r="ED178" s="106">
        <f t="shared" si="390"/>
        <v>-10003.694000000003</v>
      </c>
      <c r="EE178" s="164">
        <f>EH178-DV178</f>
        <v>-10003.694000000003</v>
      </c>
      <c r="EF178" s="164"/>
      <c r="EG178" s="164">
        <f>EH178</f>
        <v>0</v>
      </c>
      <c r="EH178" s="164">
        <v>0</v>
      </c>
      <c r="EI178" s="164"/>
      <c r="EJ178" s="164"/>
      <c r="EK178" s="164"/>
      <c r="EL178" s="164"/>
      <c r="EM178" s="164"/>
      <c r="EN178" s="164"/>
      <c r="EO178" s="164"/>
      <c r="EP178" s="164"/>
      <c r="EQ178" s="164"/>
      <c r="ER178" s="164"/>
      <c r="ES178" s="163">
        <f t="shared" si="388"/>
        <v>0</v>
      </c>
      <c r="ET178" s="164">
        <v>0</v>
      </c>
      <c r="EU178" s="164"/>
      <c r="EV178" s="164"/>
      <c r="EW178" s="164">
        <f t="shared" si="389"/>
        <v>0</v>
      </c>
      <c r="EX178" s="164">
        <v>0</v>
      </c>
      <c r="EY178" s="164"/>
      <c r="EZ178" s="164">
        <f>FA178+FB178</f>
        <v>0</v>
      </c>
      <c r="FA178" s="164">
        <f>FD178-EX178</f>
        <v>0</v>
      </c>
      <c r="FB178" s="164"/>
      <c r="FC178" s="143">
        <f t="shared" si="373"/>
        <v>0</v>
      </c>
      <c r="FD178" s="163">
        <v>0</v>
      </c>
      <c r="FE178" s="163"/>
      <c r="FF178" s="163"/>
      <c r="FG178" s="163"/>
      <c r="FH178" s="163"/>
      <c r="FI178" s="163"/>
      <c r="FJ178" s="163"/>
      <c r="FK178" s="163"/>
      <c r="FL178" s="163"/>
      <c r="FM178" s="163"/>
      <c r="FN178" s="163"/>
      <c r="FO178" s="143">
        <f t="shared" si="374"/>
        <v>0</v>
      </c>
      <c r="FP178" s="163">
        <v>0</v>
      </c>
      <c r="FQ178" s="163"/>
      <c r="FR178" s="143">
        <f t="shared" si="375"/>
        <v>0</v>
      </c>
      <c r="FS178" s="39">
        <f t="shared" si="338"/>
        <v>0</v>
      </c>
      <c r="FT178" s="485" t="e">
        <f t="shared" si="355"/>
        <v>#DIV/0!</v>
      </c>
      <c r="FU178" s="39">
        <v>0</v>
      </c>
      <c r="FV178" s="485" t="e">
        <f t="shared" si="356"/>
        <v>#DIV/0!</v>
      </c>
      <c r="FW178" s="38">
        <f t="shared" si="357"/>
        <v>0</v>
      </c>
      <c r="FX178" s="660" t="e">
        <f t="shared" si="358"/>
        <v>#DIV/0!</v>
      </c>
      <c r="FY178" s="39">
        <f t="shared" si="359"/>
        <v>0</v>
      </c>
      <c r="FZ178" s="660" t="e">
        <f t="shared" si="360"/>
        <v>#DIV/0!</v>
      </c>
      <c r="GA178" s="39">
        <f t="shared" si="361"/>
        <v>0</v>
      </c>
      <c r="GB178" s="485" t="e">
        <f t="shared" si="362"/>
        <v>#DIV/0!</v>
      </c>
      <c r="GC178" s="39">
        <v>0</v>
      </c>
      <c r="GD178" s="485" t="e">
        <f t="shared" si="376"/>
        <v>#DIV/0!</v>
      </c>
      <c r="GE178" s="82"/>
      <c r="GF178" s="498"/>
      <c r="GG178" s="82">
        <f t="shared" si="363"/>
        <v>0</v>
      </c>
      <c r="GH178" s="498" t="e">
        <f t="shared" si="364"/>
        <v>#DIV/0!</v>
      </c>
      <c r="GI178" s="90">
        <f t="shared" si="365"/>
        <v>0</v>
      </c>
      <c r="GJ178" s="485" t="e">
        <f t="shared" si="366"/>
        <v>#DIV/0!</v>
      </c>
      <c r="GK178" s="90">
        <f t="shared" si="367"/>
        <v>0</v>
      </c>
      <c r="GL178" s="485" t="e">
        <f t="shared" si="368"/>
        <v>#DIV/0!</v>
      </c>
      <c r="GM178" s="90">
        <f t="shared" si="369"/>
        <v>0</v>
      </c>
      <c r="GN178" s="485" t="e">
        <f t="shared" si="370"/>
        <v>#DIV/0!</v>
      </c>
      <c r="GO178" s="90">
        <f t="shared" si="371"/>
        <v>0</v>
      </c>
      <c r="GP178" s="485" t="e">
        <f t="shared" si="372"/>
        <v>#DIV/0!</v>
      </c>
      <c r="GQ178" s="144"/>
      <c r="GR178" s="144"/>
      <c r="GS178" s="144"/>
      <c r="GT178" s="144"/>
      <c r="GU178" s="144">
        <f t="shared" si="377"/>
        <v>0</v>
      </c>
      <c r="GV178" s="164">
        <v>0</v>
      </c>
      <c r="GW178" s="164"/>
      <c r="GX178" s="164"/>
      <c r="GY178" s="164"/>
      <c r="GZ178" s="164"/>
      <c r="HA178" s="164"/>
      <c r="HB178" s="164"/>
      <c r="HC178" s="164"/>
      <c r="HD178" s="164"/>
      <c r="HE178" s="164"/>
      <c r="HF178" s="164"/>
      <c r="HG178" s="144">
        <f t="shared" si="378"/>
        <v>0</v>
      </c>
      <c r="HH178" s="164">
        <v>0</v>
      </c>
      <c r="HI178" s="164"/>
      <c r="HJ178" s="164"/>
      <c r="HK178" s="164">
        <f>HL178</f>
        <v>0</v>
      </c>
      <c r="HL178" s="164">
        <v>0</v>
      </c>
      <c r="HM178" s="164"/>
      <c r="HN178" s="164"/>
      <c r="HO178" s="144">
        <f t="shared" si="379"/>
        <v>0</v>
      </c>
      <c r="HP178" s="164">
        <v>0</v>
      </c>
      <c r="HQ178" s="164"/>
      <c r="HR178" s="164"/>
      <c r="HS178" s="164">
        <f>HT178</f>
        <v>0</v>
      </c>
      <c r="HT178" s="164">
        <v>0</v>
      </c>
      <c r="HU178" s="164"/>
      <c r="HV178" s="164"/>
      <c r="HW178" s="164">
        <f>HX178</f>
        <v>0</v>
      </c>
      <c r="HX178" s="164">
        <v>0</v>
      </c>
      <c r="HY178" s="164"/>
      <c r="HZ178" s="164"/>
      <c r="IA178" s="164">
        <f>IB178</f>
        <v>0</v>
      </c>
      <c r="IB178" s="164">
        <v>0</v>
      </c>
      <c r="IC178" s="164"/>
      <c r="ID178" s="164"/>
      <c r="IE178" s="200"/>
      <c r="IF178" s="170"/>
      <c r="IG178" s="170"/>
      <c r="IH178" s="170"/>
    </row>
    <row r="179" spans="2:249" s="171" customFormat="1" ht="15" hidden="1" customHeight="1" x14ac:dyDescent="0.25">
      <c r="B179" s="160"/>
      <c r="C179" s="161" t="s">
        <v>172</v>
      </c>
      <c r="D179" s="162" t="s">
        <v>149</v>
      </c>
      <c r="E179" s="163">
        <f t="shared" ref="E179:E185" si="391">F179+G179</f>
        <v>0</v>
      </c>
      <c r="F179" s="163"/>
      <c r="G179" s="163"/>
      <c r="H179" s="163">
        <f t="shared" ref="H179:H185" si="392">I179+J179</f>
        <v>0</v>
      </c>
      <c r="I179" s="163">
        <f>L179-F179</f>
        <v>0</v>
      </c>
      <c r="J179" s="163"/>
      <c r="K179" s="163">
        <f t="shared" ref="K179:K185" si="393">L179+M179</f>
        <v>0</v>
      </c>
      <c r="L179" s="163"/>
      <c r="M179" s="163"/>
      <c r="N179" s="163">
        <f t="shared" ref="N179:N185" si="394">O179+P179</f>
        <v>0</v>
      </c>
      <c r="O179" s="163">
        <f>R179-L179</f>
        <v>0</v>
      </c>
      <c r="P179" s="163"/>
      <c r="Q179" s="164">
        <f t="shared" ref="Q179:Q185" si="395">R179+S179</f>
        <v>0</v>
      </c>
      <c r="R179" s="164"/>
      <c r="S179" s="164"/>
      <c r="T179" s="164">
        <f t="shared" ref="T179:T185" si="396">U179+V179</f>
        <v>0</v>
      </c>
      <c r="U179" s="164"/>
      <c r="V179" s="164"/>
      <c r="W179" s="164">
        <f t="shared" ref="W179:W185" si="397">X179+Y179</f>
        <v>0</v>
      </c>
      <c r="X179" s="164">
        <f>AA179-U179</f>
        <v>0</v>
      </c>
      <c r="Y179" s="164"/>
      <c r="Z179" s="164">
        <f t="shared" ref="Z179:Z185" si="398">AA179+AB179</f>
        <v>0</v>
      </c>
      <c r="AA179" s="164"/>
      <c r="AB179" s="164"/>
      <c r="AC179" s="164">
        <f t="shared" ref="AC179:AC185" si="399">AD179+AE179</f>
        <v>0</v>
      </c>
      <c r="AD179" s="164"/>
      <c r="AE179" s="164"/>
      <c r="AF179" s="164">
        <f t="shared" ref="AF179:AF185" si="400">AG179+AH179</f>
        <v>0</v>
      </c>
      <c r="AG179" s="164"/>
      <c r="AH179" s="164"/>
      <c r="AI179" s="165">
        <f t="shared" ref="AI179:AI185" si="401">AA179-AJ179</f>
        <v>0</v>
      </c>
      <c r="AJ179" s="164"/>
      <c r="AK179" s="165">
        <f t="shared" ref="AK179:AL185" si="402">Z179-AJ179</f>
        <v>0</v>
      </c>
      <c r="AL179" s="165">
        <f t="shared" si="402"/>
        <v>0</v>
      </c>
      <c r="AM179" s="746"/>
      <c r="AN179" s="164"/>
      <c r="AO179" s="166">
        <v>1</v>
      </c>
      <c r="AP179" s="164"/>
      <c r="AQ179" s="164"/>
      <c r="AR179" s="164"/>
      <c r="AS179" s="164">
        <f t="shared" ref="AS179:AS185" si="403">AT179+AU179</f>
        <v>0</v>
      </c>
      <c r="AT179" s="164"/>
      <c r="AU179" s="164"/>
      <c r="AV179" s="164">
        <f t="shared" ref="AV179:AV185" si="404">AW179+AX179</f>
        <v>0</v>
      </c>
      <c r="AW179" s="164">
        <f>AZ179-AT179</f>
        <v>0</v>
      </c>
      <c r="AX179" s="164"/>
      <c r="AY179" s="164">
        <f t="shared" ref="AY179:AY185" si="405">AZ179+BA179</f>
        <v>0</v>
      </c>
      <c r="AZ179" s="164"/>
      <c r="BA179" s="164"/>
      <c r="BB179" s="164">
        <f t="shared" ref="BB179:BB185" si="406">BC179+BD179</f>
        <v>0</v>
      </c>
      <c r="BC179" s="164"/>
      <c r="BD179" s="164"/>
      <c r="BE179" s="164">
        <f t="shared" ref="BE179:BE185" si="407">BF179+BG179</f>
        <v>10000</v>
      </c>
      <c r="BF179" s="164">
        <f>BH179-AZ179</f>
        <v>10000</v>
      </c>
      <c r="BG179" s="164"/>
      <c r="BH179" s="164">
        <f t="shared" ref="BH179:BH185" si="408">BI179+BJ179</f>
        <v>10000</v>
      </c>
      <c r="BI179" s="164">
        <v>10000</v>
      </c>
      <c r="BJ179" s="164"/>
      <c r="BK179" s="167">
        <v>1</v>
      </c>
      <c r="BL179" s="168">
        <f t="shared" ref="BL179:BL185" si="409">AZ179</f>
        <v>0</v>
      </c>
      <c r="BM179" s="168"/>
      <c r="BN179" s="168"/>
      <c r="BO179" s="168"/>
      <c r="BP179" s="168"/>
      <c r="BQ179" s="168"/>
      <c r="BR179" s="168"/>
      <c r="BS179" s="168">
        <f>BT179+BU179</f>
        <v>0</v>
      </c>
      <c r="BT179" s="168">
        <v>0</v>
      </c>
      <c r="BU179" s="168"/>
      <c r="BV179" s="164">
        <f t="shared" ref="BV179:BV185" si="410">BW179+BX179</f>
        <v>0</v>
      </c>
      <c r="BW179" s="164"/>
      <c r="BX179" s="164"/>
      <c r="BY179" s="164">
        <f t="shared" ref="BY179:BY185" si="411">BZ179+CA179</f>
        <v>0</v>
      </c>
      <c r="BZ179" s="164">
        <f>CC179-BI179</f>
        <v>0</v>
      </c>
      <c r="CA179" s="164"/>
      <c r="CB179" s="164">
        <f t="shared" ref="CB179:CB185" si="412">CC179+CD179</f>
        <v>10000</v>
      </c>
      <c r="CC179" s="164">
        <f>BI179</f>
        <v>10000</v>
      </c>
      <c r="CD179" s="164"/>
      <c r="CE179" s="168">
        <v>1</v>
      </c>
      <c r="CF179" s="168">
        <f t="shared" ref="CF179:CF185" si="413">CB179</f>
        <v>10000</v>
      </c>
      <c r="CG179" s="164"/>
      <c r="CH179" s="164">
        <f t="shared" ref="CH179:CH185" si="414">CI179+CJ179</f>
        <v>0</v>
      </c>
      <c r="CI179" s="164">
        <v>0</v>
      </c>
      <c r="CJ179" s="164"/>
      <c r="CK179" s="164">
        <f t="shared" ref="CK179:CK185" si="415">CL179+CM179</f>
        <v>2500</v>
      </c>
      <c r="CL179" s="164">
        <f>CR179-CI179</f>
        <v>2500</v>
      </c>
      <c r="CM179" s="164"/>
      <c r="CN179" s="164"/>
      <c r="CO179" s="164"/>
      <c r="CP179" s="164"/>
      <c r="CQ179" s="164">
        <f t="shared" ref="CQ179:CQ185" si="416">CR179+CS179</f>
        <v>2500</v>
      </c>
      <c r="CR179" s="164">
        <v>2500</v>
      </c>
      <c r="CS179" s="164"/>
      <c r="CT179" s="164">
        <f t="shared" ref="CT179:CT185" si="417">CU179+CV179</f>
        <v>0</v>
      </c>
      <c r="CU179" s="164"/>
      <c r="CV179" s="164"/>
      <c r="CW179" s="164">
        <f t="shared" si="383"/>
        <v>48995.860180000003</v>
      </c>
      <c r="CX179" s="164">
        <v>48995.860180000003</v>
      </c>
      <c r="CY179" s="164"/>
      <c r="CZ179" s="164">
        <f t="shared" ref="CZ179:CZ185" si="418">DA179+DB179</f>
        <v>2500</v>
      </c>
      <c r="DA179" s="164">
        <v>2500</v>
      </c>
      <c r="DB179" s="164"/>
      <c r="DC179" s="164"/>
      <c r="DD179" s="164"/>
      <c r="DE179" s="164"/>
      <c r="DF179" s="164">
        <f t="shared" si="384"/>
        <v>-48995.860180000003</v>
      </c>
      <c r="DG179" s="164">
        <f>DJ179-CX179</f>
        <v>-48995.860180000003</v>
      </c>
      <c r="DH179" s="164"/>
      <c r="DI179" s="164">
        <f t="shared" si="385"/>
        <v>0</v>
      </c>
      <c r="DJ179" s="164">
        <v>0</v>
      </c>
      <c r="DK179" s="164"/>
      <c r="DL179" s="164">
        <f t="shared" si="386"/>
        <v>3870</v>
      </c>
      <c r="DM179" s="164">
        <v>3870</v>
      </c>
      <c r="DN179" s="164"/>
      <c r="DO179" s="164">
        <f t="shared" si="387"/>
        <v>-3870</v>
      </c>
      <c r="DP179" s="164">
        <f>DJ179-DM179</f>
        <v>-3870</v>
      </c>
      <c r="DQ179" s="164"/>
      <c r="DR179" s="164">
        <f t="shared" ref="DR179:DR185" si="419">DS179+DT179</f>
        <v>0</v>
      </c>
      <c r="DS179" s="164">
        <f>DJ179-DM179-DP179</f>
        <v>0</v>
      </c>
      <c r="DT179" s="164"/>
      <c r="DU179" s="164">
        <f t="shared" ref="DU179:DU185" si="420">DV179+DW179</f>
        <v>882.83543000000645</v>
      </c>
      <c r="DV179" s="164">
        <f>103382.83543-102500</f>
        <v>882.83543000000645</v>
      </c>
      <c r="DW179" s="164"/>
      <c r="DX179" s="164">
        <f t="shared" ref="DX179:DX185" si="421">DY179+DZ179</f>
        <v>0</v>
      </c>
      <c r="DY179" s="164"/>
      <c r="DZ179" s="164"/>
      <c r="EA179" s="164"/>
      <c r="EB179" s="164"/>
      <c r="EC179" s="164"/>
      <c r="ED179" s="106">
        <f t="shared" si="390"/>
        <v>-882.83543000000645</v>
      </c>
      <c r="EE179" s="164">
        <f>EH179-DV179</f>
        <v>-882.83543000000645</v>
      </c>
      <c r="EF179" s="164"/>
      <c r="EG179" s="164">
        <f>EH179</f>
        <v>0</v>
      </c>
      <c r="EH179" s="164">
        <v>0</v>
      </c>
      <c r="EI179" s="164"/>
      <c r="EJ179" s="164"/>
      <c r="EK179" s="164">
        <f t="shared" ref="EK179:EK185" si="422">EL179+EN179</f>
        <v>0</v>
      </c>
      <c r="EL179" s="164"/>
      <c r="EM179" s="164"/>
      <c r="EN179" s="164"/>
      <c r="EO179" s="164">
        <f t="shared" ref="EO179:EO185" si="423">EP179+ER179</f>
        <v>0</v>
      </c>
      <c r="EP179" s="164"/>
      <c r="EQ179" s="164"/>
      <c r="ER179" s="164"/>
      <c r="ES179" s="163">
        <f t="shared" si="388"/>
        <v>0</v>
      </c>
      <c r="ET179" s="164">
        <v>0</v>
      </c>
      <c r="EU179" s="164"/>
      <c r="EV179" s="164"/>
      <c r="EW179" s="164">
        <f t="shared" si="389"/>
        <v>101907.28194</v>
      </c>
      <c r="EX179" s="164">
        <v>101907.28194</v>
      </c>
      <c r="EY179" s="164"/>
      <c r="EZ179" s="164">
        <f>FA179+FB179</f>
        <v>-101907.28194</v>
      </c>
      <c r="FA179" s="164">
        <f>FD179-EX179</f>
        <v>-101907.28194</v>
      </c>
      <c r="FB179" s="164"/>
      <c r="FC179" s="143">
        <f t="shared" si="373"/>
        <v>0</v>
      </c>
      <c r="FD179" s="163">
        <v>0</v>
      </c>
      <c r="FE179" s="163"/>
      <c r="FF179" s="163"/>
      <c r="FG179" s="163">
        <f t="shared" ref="FG179:FG185" si="424">FH179+FJ179</f>
        <v>0</v>
      </c>
      <c r="FH179" s="163"/>
      <c r="FI179" s="163"/>
      <c r="FJ179" s="163"/>
      <c r="FK179" s="163">
        <f t="shared" ref="FK179:FK185" si="425">FL179+FN179</f>
        <v>0</v>
      </c>
      <c r="FL179" s="163"/>
      <c r="FM179" s="163"/>
      <c r="FN179" s="163"/>
      <c r="FO179" s="143">
        <f t="shared" si="374"/>
        <v>0</v>
      </c>
      <c r="FP179" s="163">
        <v>0</v>
      </c>
      <c r="FQ179" s="163"/>
      <c r="FR179" s="143">
        <f t="shared" si="375"/>
        <v>0</v>
      </c>
      <c r="FS179" s="39">
        <f t="shared" si="338"/>
        <v>0</v>
      </c>
      <c r="FT179" s="485" t="e">
        <f t="shared" si="355"/>
        <v>#DIV/0!</v>
      </c>
      <c r="FU179" s="39">
        <v>0</v>
      </c>
      <c r="FV179" s="485" t="e">
        <f t="shared" si="356"/>
        <v>#DIV/0!</v>
      </c>
      <c r="FW179" s="38">
        <f t="shared" si="357"/>
        <v>0</v>
      </c>
      <c r="FX179" s="660" t="e">
        <f t="shared" si="358"/>
        <v>#DIV/0!</v>
      </c>
      <c r="FY179" s="39">
        <f t="shared" si="359"/>
        <v>0</v>
      </c>
      <c r="FZ179" s="660" t="e">
        <f t="shared" si="360"/>
        <v>#DIV/0!</v>
      </c>
      <c r="GA179" s="39">
        <f t="shared" si="361"/>
        <v>0</v>
      </c>
      <c r="GB179" s="485" t="e">
        <f t="shared" si="362"/>
        <v>#DIV/0!</v>
      </c>
      <c r="GC179" s="39">
        <v>0</v>
      </c>
      <c r="GD179" s="485" t="e">
        <f t="shared" si="376"/>
        <v>#DIV/0!</v>
      </c>
      <c r="GE179" s="82"/>
      <c r="GF179" s="498"/>
      <c r="GG179" s="82">
        <f t="shared" si="363"/>
        <v>0</v>
      </c>
      <c r="GH179" s="498" t="e">
        <f t="shared" si="364"/>
        <v>#DIV/0!</v>
      </c>
      <c r="GI179" s="90">
        <f t="shared" si="365"/>
        <v>0</v>
      </c>
      <c r="GJ179" s="485" t="e">
        <f t="shared" si="366"/>
        <v>#DIV/0!</v>
      </c>
      <c r="GK179" s="90">
        <f t="shared" si="367"/>
        <v>0</v>
      </c>
      <c r="GL179" s="485" t="e">
        <f t="shared" si="368"/>
        <v>#DIV/0!</v>
      </c>
      <c r="GM179" s="90">
        <f t="shared" si="369"/>
        <v>0</v>
      </c>
      <c r="GN179" s="485" t="e">
        <f t="shared" si="370"/>
        <v>#DIV/0!</v>
      </c>
      <c r="GO179" s="90">
        <f t="shared" si="371"/>
        <v>0</v>
      </c>
      <c r="GP179" s="485" t="e">
        <f t="shared" si="372"/>
        <v>#DIV/0!</v>
      </c>
      <c r="GQ179" s="144"/>
      <c r="GR179" s="144"/>
      <c r="GS179" s="144"/>
      <c r="GT179" s="144"/>
      <c r="GU179" s="144">
        <f t="shared" si="377"/>
        <v>0</v>
      </c>
      <c r="GV179" s="164">
        <v>0</v>
      </c>
      <c r="GW179" s="164"/>
      <c r="GX179" s="164"/>
      <c r="GY179" s="164"/>
      <c r="GZ179" s="164"/>
      <c r="HA179" s="164"/>
      <c r="HB179" s="164"/>
      <c r="HC179" s="164"/>
      <c r="HD179" s="164"/>
      <c r="HE179" s="164"/>
      <c r="HF179" s="164"/>
      <c r="HG179" s="144">
        <f t="shared" si="378"/>
        <v>0</v>
      </c>
      <c r="HH179" s="164">
        <v>0</v>
      </c>
      <c r="HI179" s="164"/>
      <c r="HJ179" s="164"/>
      <c r="HK179" s="164">
        <f>HL179</f>
        <v>0</v>
      </c>
      <c r="HL179" s="164">
        <v>0</v>
      </c>
      <c r="HM179" s="164"/>
      <c r="HN179" s="164"/>
      <c r="HO179" s="144">
        <f t="shared" si="379"/>
        <v>0</v>
      </c>
      <c r="HP179" s="164">
        <v>0</v>
      </c>
      <c r="HQ179" s="164"/>
      <c r="HR179" s="164"/>
      <c r="HS179" s="164">
        <f>HT179</f>
        <v>0</v>
      </c>
      <c r="HT179" s="164">
        <v>0</v>
      </c>
      <c r="HU179" s="164"/>
      <c r="HV179" s="164"/>
      <c r="HW179" s="164">
        <f>HX179</f>
        <v>0</v>
      </c>
      <c r="HX179" s="164">
        <v>0</v>
      </c>
      <c r="HY179" s="164"/>
      <c r="HZ179" s="164"/>
      <c r="IA179" s="164">
        <f>IB179</f>
        <v>0</v>
      </c>
      <c r="IB179" s="164">
        <v>0</v>
      </c>
      <c r="IC179" s="164"/>
      <c r="ID179" s="164"/>
      <c r="IE179" s="200"/>
      <c r="IF179" s="170"/>
      <c r="IG179" s="170"/>
      <c r="IH179" s="170"/>
    </row>
    <row r="180" spans="2:249" s="177" customFormat="1" ht="153" hidden="1" customHeight="1" x14ac:dyDescent="0.25">
      <c r="B180" s="100" t="s">
        <v>77</v>
      </c>
      <c r="C180" s="101" t="s">
        <v>285</v>
      </c>
      <c r="D180" s="102"/>
      <c r="E180" s="103">
        <f t="shared" si="391"/>
        <v>0</v>
      </c>
      <c r="F180" s="104">
        <f>SUM(F181:F182)</f>
        <v>0</v>
      </c>
      <c r="G180" s="104">
        <f>SUM(G181:G182)</f>
        <v>0</v>
      </c>
      <c r="H180" s="103">
        <f t="shared" si="392"/>
        <v>0</v>
      </c>
      <c r="I180" s="104">
        <f>SUM(I181:I182)</f>
        <v>0</v>
      </c>
      <c r="J180" s="104"/>
      <c r="K180" s="103">
        <f t="shared" si="393"/>
        <v>0</v>
      </c>
      <c r="L180" s="104">
        <f>SUM(L181:L182)</f>
        <v>0</v>
      </c>
      <c r="M180" s="104">
        <f>SUM(M181:M182)</f>
        <v>0</v>
      </c>
      <c r="N180" s="103">
        <f t="shared" si="394"/>
        <v>0</v>
      </c>
      <c r="O180" s="104">
        <f>SUM(O181:O182)</f>
        <v>0</v>
      </c>
      <c r="P180" s="104"/>
      <c r="Q180" s="105">
        <f t="shared" si="395"/>
        <v>0</v>
      </c>
      <c r="R180" s="106">
        <f>SUM(R181:R182)</f>
        <v>0</v>
      </c>
      <c r="S180" s="106">
        <f>SUM(S181:S182)</f>
        <v>0</v>
      </c>
      <c r="T180" s="105">
        <f t="shared" si="396"/>
        <v>0</v>
      </c>
      <c r="U180" s="106">
        <f>SUM(U181:U182)</f>
        <v>0</v>
      </c>
      <c r="V180" s="106">
        <f>SUM(V181:V182)</f>
        <v>0</v>
      </c>
      <c r="W180" s="105">
        <f t="shared" si="397"/>
        <v>0</v>
      </c>
      <c r="X180" s="106">
        <f>SUM(X181:X182)</f>
        <v>0</v>
      </c>
      <c r="Y180" s="106"/>
      <c r="Z180" s="105">
        <f t="shared" si="398"/>
        <v>0</v>
      </c>
      <c r="AA180" s="106">
        <f>SUM(AA181:AA182)</f>
        <v>0</v>
      </c>
      <c r="AB180" s="106">
        <f>SUM(AB181:AB182)</f>
        <v>0</v>
      </c>
      <c r="AC180" s="105">
        <f t="shared" si="399"/>
        <v>35965.071989999997</v>
      </c>
      <c r="AD180" s="106">
        <f>SUM(AD181:AD182)</f>
        <v>35965.071989999997</v>
      </c>
      <c r="AE180" s="106">
        <f>SUM(AE181:AE182)</f>
        <v>0</v>
      </c>
      <c r="AF180" s="105">
        <f t="shared" si="400"/>
        <v>35965.071989999997</v>
      </c>
      <c r="AG180" s="106">
        <f>SUM(AG181:AG182)</f>
        <v>35965.071989999997</v>
      </c>
      <c r="AH180" s="106">
        <f>SUM(AH181:AH182)</f>
        <v>0</v>
      </c>
      <c r="AI180" s="106">
        <f t="shared" si="401"/>
        <v>0</v>
      </c>
      <c r="AJ180" s="106"/>
      <c r="AK180" s="106">
        <f t="shared" si="402"/>
        <v>0</v>
      </c>
      <c r="AL180" s="106">
        <f t="shared" si="402"/>
        <v>0</v>
      </c>
      <c r="AM180" s="106"/>
      <c r="AN180" s="106"/>
      <c r="AO180" s="109">
        <v>1</v>
      </c>
      <c r="AP180" s="106"/>
      <c r="AQ180" s="106"/>
      <c r="AR180" s="153">
        <f t="shared" ref="AR180:AR185" si="426">AF180-AP180-AQ180</f>
        <v>35965.071989999997</v>
      </c>
      <c r="AS180" s="105">
        <f t="shared" si="403"/>
        <v>205500</v>
      </c>
      <c r="AT180" s="106">
        <f>SUM(AT181:AT182)</f>
        <v>205500</v>
      </c>
      <c r="AU180" s="106">
        <f>SUM(AU181:AU182)</f>
        <v>0</v>
      </c>
      <c r="AV180" s="105">
        <f t="shared" si="404"/>
        <v>68200</v>
      </c>
      <c r="AW180" s="106">
        <f>SUM(AW181:AW182)</f>
        <v>68200</v>
      </c>
      <c r="AX180" s="106"/>
      <c r="AY180" s="105">
        <f t="shared" si="405"/>
        <v>273700</v>
      </c>
      <c r="AZ180" s="106">
        <f>SUM(AZ181:AZ182)</f>
        <v>273700</v>
      </c>
      <c r="BA180" s="106">
        <f>SUM(BA181:BA182)</f>
        <v>0</v>
      </c>
      <c r="BB180" s="105">
        <f t="shared" si="406"/>
        <v>0</v>
      </c>
      <c r="BC180" s="106">
        <f>SUM(BC181:BC182)</f>
        <v>0</v>
      </c>
      <c r="BD180" s="106">
        <f>SUM(BD181:BD182)</f>
        <v>0</v>
      </c>
      <c r="BE180" s="105">
        <f t="shared" si="407"/>
        <v>0</v>
      </c>
      <c r="BF180" s="106">
        <f>SUM(BF181:BF182)</f>
        <v>0</v>
      </c>
      <c r="BG180" s="106"/>
      <c r="BH180" s="105">
        <f t="shared" si="408"/>
        <v>392228.80099999998</v>
      </c>
      <c r="BI180" s="106">
        <f>SUM(BI181:BI182)</f>
        <v>392228.80099999998</v>
      </c>
      <c r="BJ180" s="106">
        <f>SUM(BJ181:BJ182)</f>
        <v>0</v>
      </c>
      <c r="BK180" s="110">
        <v>1</v>
      </c>
      <c r="BL180" s="106">
        <f t="shared" si="409"/>
        <v>273700</v>
      </c>
      <c r="BM180" s="106"/>
      <c r="BN180" s="106"/>
      <c r="BO180" s="106"/>
      <c r="BP180" s="106"/>
      <c r="BQ180" s="106"/>
      <c r="BR180" s="106"/>
      <c r="BS180" s="106">
        <f>BS181+BS182</f>
        <v>273700</v>
      </c>
      <c r="BT180" s="106">
        <f>BT181+BT182</f>
        <v>273700</v>
      </c>
      <c r="BU180" s="106">
        <f>BU181+BU182</f>
        <v>0</v>
      </c>
      <c r="BV180" s="105">
        <f t="shared" si="410"/>
        <v>0</v>
      </c>
      <c r="BW180" s="106">
        <f>SUM(BW181:BW182)</f>
        <v>0</v>
      </c>
      <c r="BX180" s="106">
        <f>SUM(BX181:BX182)</f>
        <v>0</v>
      </c>
      <c r="BY180" s="105">
        <f t="shared" si="411"/>
        <v>0</v>
      </c>
      <c r="BZ180" s="106">
        <f>SUM(BZ181:BZ182)</f>
        <v>0</v>
      </c>
      <c r="CA180" s="106"/>
      <c r="CB180" s="105">
        <f t="shared" si="412"/>
        <v>392228.80099999998</v>
      </c>
      <c r="CC180" s="106">
        <f>SUM(CC181:CC182)</f>
        <v>392228.80099999998</v>
      </c>
      <c r="CD180" s="106">
        <f>SUM(CD181:CD182)</f>
        <v>0</v>
      </c>
      <c r="CE180" s="106">
        <v>1</v>
      </c>
      <c r="CF180" s="106">
        <f t="shared" si="413"/>
        <v>392228.80099999998</v>
      </c>
      <c r="CG180" s="111"/>
      <c r="CH180" s="105">
        <f t="shared" si="414"/>
        <v>0</v>
      </c>
      <c r="CI180" s="106">
        <f>SUM(CI181:CI182)</f>
        <v>0</v>
      </c>
      <c r="CJ180" s="106">
        <f>SUM(CJ181:CJ182)</f>
        <v>0</v>
      </c>
      <c r="CK180" s="105">
        <f t="shared" si="415"/>
        <v>248461.3</v>
      </c>
      <c r="CL180" s="106">
        <f>SUM(CL181:CL182)</f>
        <v>248461.3</v>
      </c>
      <c r="CM180" s="106"/>
      <c r="CN180" s="106">
        <f>CO180+CP180</f>
        <v>248461.3</v>
      </c>
      <c r="CO180" s="106">
        <f>248461.3</f>
        <v>248461.3</v>
      </c>
      <c r="CP180" s="106"/>
      <c r="CQ180" s="105">
        <f t="shared" si="416"/>
        <v>248461.3</v>
      </c>
      <c r="CR180" s="106">
        <f>CR181+CR182</f>
        <v>248461.3</v>
      </c>
      <c r="CS180" s="106">
        <f>SUM(CS181:CS182)</f>
        <v>0</v>
      </c>
      <c r="CT180" s="105">
        <f t="shared" si="417"/>
        <v>0</v>
      </c>
      <c r="CU180" s="106"/>
      <c r="CV180" s="106"/>
      <c r="CW180" s="105">
        <f t="shared" si="383"/>
        <v>451256.98043</v>
      </c>
      <c r="CX180" s="106">
        <f>SUM(CX181:CX182)</f>
        <v>451256.98043</v>
      </c>
      <c r="CY180" s="106">
        <f>SUM(CY181:CY182)</f>
        <v>0</v>
      </c>
      <c r="CZ180" s="105">
        <f t="shared" si="418"/>
        <v>248461.3</v>
      </c>
      <c r="DA180" s="106">
        <f>DA181+DA182</f>
        <v>248461.3</v>
      </c>
      <c r="DB180" s="106">
        <f>SUM(DB181:DB182)</f>
        <v>0</v>
      </c>
      <c r="DC180" s="106"/>
      <c r="DD180" s="106"/>
      <c r="DE180" s="106"/>
      <c r="DF180" s="105">
        <f t="shared" si="384"/>
        <v>-451256.98043</v>
      </c>
      <c r="DG180" s="106">
        <f>SUM(DG181:DG182)</f>
        <v>-451256.98043</v>
      </c>
      <c r="DH180" s="106">
        <f>SUM(DH181:DH182)</f>
        <v>0</v>
      </c>
      <c r="DI180" s="105">
        <f t="shared" si="385"/>
        <v>0</v>
      </c>
      <c r="DJ180" s="106">
        <f>SUM(DJ181:DJ182)</f>
        <v>0</v>
      </c>
      <c r="DK180" s="106">
        <f>SUM(DK181:DK182)</f>
        <v>0</v>
      </c>
      <c r="DL180" s="105">
        <f t="shared" si="386"/>
        <v>440719.06090000004</v>
      </c>
      <c r="DM180" s="106">
        <f>SUM(DM181:DM182)</f>
        <v>440719.06090000004</v>
      </c>
      <c r="DN180" s="106">
        <f>SUM(DN181:DN182)</f>
        <v>0</v>
      </c>
      <c r="DO180" s="105">
        <f t="shared" si="387"/>
        <v>0</v>
      </c>
      <c r="DP180" s="106">
        <f>SUM(DP181:DP182)</f>
        <v>0</v>
      </c>
      <c r="DQ180" s="106">
        <f>SUM(DQ181:DQ182)</f>
        <v>0</v>
      </c>
      <c r="DR180" s="105">
        <f t="shared" si="419"/>
        <v>-440719.06090000004</v>
      </c>
      <c r="DS180" s="106">
        <f>SUM(DS181:DS182)</f>
        <v>-440719.06090000004</v>
      </c>
      <c r="DT180" s="106">
        <f>SUM(DT181:DT182)</f>
        <v>0</v>
      </c>
      <c r="DU180" s="105">
        <f t="shared" si="420"/>
        <v>248461.3</v>
      </c>
      <c r="DV180" s="106">
        <f>DV181+DV182</f>
        <v>248461.3</v>
      </c>
      <c r="DW180" s="106"/>
      <c r="DX180" s="105">
        <f t="shared" si="421"/>
        <v>0</v>
      </c>
      <c r="DY180" s="106">
        <f>DY181+DY182</f>
        <v>0</v>
      </c>
      <c r="DZ180" s="106">
        <f>SUM(DZ181:DZ182)</f>
        <v>0</v>
      </c>
      <c r="EA180" s="106"/>
      <c r="EB180" s="106"/>
      <c r="EC180" s="106"/>
      <c r="ED180" s="106">
        <f>EE180</f>
        <v>-248461.3</v>
      </c>
      <c r="EE180" s="106">
        <f>EE181+EE182+EE183</f>
        <v>-248461.3</v>
      </c>
      <c r="EF180" s="106"/>
      <c r="EG180" s="105">
        <f>EH180+EJ180</f>
        <v>0</v>
      </c>
      <c r="EH180" s="106">
        <f>EH181+EH182</f>
        <v>0</v>
      </c>
      <c r="EI180" s="106"/>
      <c r="EJ180" s="106"/>
      <c r="EK180" s="105">
        <f t="shared" si="422"/>
        <v>0</v>
      </c>
      <c r="EL180" s="106">
        <f>SUM(EL181:EL182)</f>
        <v>0</v>
      </c>
      <c r="EM180" s="106"/>
      <c r="EN180" s="106">
        <f>SUM(EN181:EN182)</f>
        <v>0</v>
      </c>
      <c r="EO180" s="105">
        <f t="shared" si="423"/>
        <v>0</v>
      </c>
      <c r="EP180" s="106">
        <f>SUM(EP181:EP182)</f>
        <v>0</v>
      </c>
      <c r="EQ180" s="106"/>
      <c r="ER180" s="106">
        <f>SUM(ER181:ER182)</f>
        <v>0</v>
      </c>
      <c r="ES180" s="104">
        <f t="shared" si="388"/>
        <v>0</v>
      </c>
      <c r="ET180" s="106">
        <f>ET181+ET182</f>
        <v>0</v>
      </c>
      <c r="EU180" s="106"/>
      <c r="EV180" s="106"/>
      <c r="EW180" s="105">
        <f t="shared" si="389"/>
        <v>0</v>
      </c>
      <c r="EX180" s="106">
        <f>EX181+EX182</f>
        <v>0</v>
      </c>
      <c r="EY180" s="106">
        <f>SUM(EY181:EY182)</f>
        <v>0</v>
      </c>
      <c r="EZ180" s="106"/>
      <c r="FA180" s="106"/>
      <c r="FB180" s="106"/>
      <c r="FC180" s="143">
        <f t="shared" si="373"/>
        <v>0</v>
      </c>
      <c r="FD180" s="104">
        <f>FD181+FD182</f>
        <v>0</v>
      </c>
      <c r="FE180" s="104"/>
      <c r="FF180" s="104"/>
      <c r="FG180" s="103">
        <f t="shared" si="424"/>
        <v>0</v>
      </c>
      <c r="FH180" s="104">
        <f>SUM(FH181:FH182)</f>
        <v>0</v>
      </c>
      <c r="FI180" s="104"/>
      <c r="FJ180" s="104">
        <f>SUM(FJ181:FJ182)</f>
        <v>0</v>
      </c>
      <c r="FK180" s="103">
        <f t="shared" si="425"/>
        <v>0</v>
      </c>
      <c r="FL180" s="104">
        <f>SUM(FL181:FL182)</f>
        <v>0</v>
      </c>
      <c r="FM180" s="104"/>
      <c r="FN180" s="104">
        <f>SUM(FN181:FN182)</f>
        <v>0</v>
      </c>
      <c r="FO180" s="143">
        <f t="shared" si="374"/>
        <v>0</v>
      </c>
      <c r="FP180" s="104">
        <f>FP181+FP182</f>
        <v>0</v>
      </c>
      <c r="FQ180" s="104"/>
      <c r="FR180" s="143">
        <f t="shared" si="375"/>
        <v>0</v>
      </c>
      <c r="FS180" s="39">
        <f t="shared" si="338"/>
        <v>0</v>
      </c>
      <c r="FT180" s="485" t="e">
        <f t="shared" si="355"/>
        <v>#DIV/0!</v>
      </c>
      <c r="FU180" s="39">
        <v>0</v>
      </c>
      <c r="FV180" s="485" t="e">
        <f t="shared" si="356"/>
        <v>#DIV/0!</v>
      </c>
      <c r="FW180" s="38">
        <f t="shared" si="357"/>
        <v>0</v>
      </c>
      <c r="FX180" s="660" t="e">
        <f t="shared" si="358"/>
        <v>#DIV/0!</v>
      </c>
      <c r="FY180" s="39">
        <f t="shared" si="359"/>
        <v>0</v>
      </c>
      <c r="FZ180" s="660" t="e">
        <f t="shared" si="360"/>
        <v>#DIV/0!</v>
      </c>
      <c r="GA180" s="39">
        <f t="shared" si="361"/>
        <v>0</v>
      </c>
      <c r="GB180" s="485" t="e">
        <f t="shared" si="362"/>
        <v>#DIV/0!</v>
      </c>
      <c r="GC180" s="39">
        <v>0</v>
      </c>
      <c r="GD180" s="485" t="e">
        <f t="shared" si="376"/>
        <v>#DIV/0!</v>
      </c>
      <c r="GE180" s="82"/>
      <c r="GF180" s="498"/>
      <c r="GG180" s="82">
        <f t="shared" si="363"/>
        <v>0</v>
      </c>
      <c r="GH180" s="498" t="e">
        <f t="shared" si="364"/>
        <v>#DIV/0!</v>
      </c>
      <c r="GI180" s="90">
        <f t="shared" si="365"/>
        <v>0</v>
      </c>
      <c r="GJ180" s="485" t="e">
        <f t="shared" si="366"/>
        <v>#DIV/0!</v>
      </c>
      <c r="GK180" s="90">
        <f t="shared" si="367"/>
        <v>0</v>
      </c>
      <c r="GL180" s="485" t="e">
        <f t="shared" si="368"/>
        <v>#DIV/0!</v>
      </c>
      <c r="GM180" s="90">
        <f t="shared" si="369"/>
        <v>0</v>
      </c>
      <c r="GN180" s="485" t="e">
        <f t="shared" si="370"/>
        <v>#DIV/0!</v>
      </c>
      <c r="GO180" s="90">
        <f t="shared" si="371"/>
        <v>0</v>
      </c>
      <c r="GP180" s="485" t="e">
        <f t="shared" si="372"/>
        <v>#DIV/0!</v>
      </c>
      <c r="GQ180" s="144"/>
      <c r="GR180" s="144"/>
      <c r="GS180" s="144"/>
      <c r="GT180" s="144"/>
      <c r="GU180" s="144">
        <f t="shared" si="377"/>
        <v>0</v>
      </c>
      <c r="GV180" s="106">
        <f>GV181+GV182</f>
        <v>0</v>
      </c>
      <c r="GW180" s="106"/>
      <c r="GX180" s="106"/>
      <c r="GY180" s="106"/>
      <c r="GZ180" s="106"/>
      <c r="HA180" s="106"/>
      <c r="HB180" s="106"/>
      <c r="HC180" s="106"/>
      <c r="HD180" s="106"/>
      <c r="HE180" s="106"/>
      <c r="HF180" s="106"/>
      <c r="HG180" s="144">
        <f t="shared" si="378"/>
        <v>0</v>
      </c>
      <c r="HH180" s="106">
        <f>HH181+HH182</f>
        <v>0</v>
      </c>
      <c r="HI180" s="106"/>
      <c r="HJ180" s="106"/>
      <c r="HK180" s="105">
        <f>HL180+HN180</f>
        <v>0</v>
      </c>
      <c r="HL180" s="106">
        <f>HL181+HL182</f>
        <v>0</v>
      </c>
      <c r="HM180" s="106"/>
      <c r="HN180" s="106"/>
      <c r="HO180" s="144">
        <f t="shared" si="379"/>
        <v>0</v>
      </c>
      <c r="HP180" s="106">
        <f>HP181+HP182</f>
        <v>0</v>
      </c>
      <c r="HQ180" s="106"/>
      <c r="HR180" s="106"/>
      <c r="HS180" s="105">
        <f>HT180+HV180</f>
        <v>0</v>
      </c>
      <c r="HT180" s="106">
        <f>HT181+HT182</f>
        <v>0</v>
      </c>
      <c r="HU180" s="106"/>
      <c r="HV180" s="106"/>
      <c r="HW180" s="105">
        <f>HX180+HZ180</f>
        <v>0</v>
      </c>
      <c r="HX180" s="106">
        <f>HX181+HX182</f>
        <v>0</v>
      </c>
      <c r="HY180" s="106"/>
      <c r="HZ180" s="106"/>
      <c r="IA180" s="105">
        <f>IB180+ID180</f>
        <v>0</v>
      </c>
      <c r="IB180" s="106">
        <f>IB181+IB182</f>
        <v>0</v>
      </c>
      <c r="IC180" s="106"/>
      <c r="ID180" s="106"/>
      <c r="IE180" s="199" t="s">
        <v>286</v>
      </c>
      <c r="IF180" s="173"/>
      <c r="IG180" s="173"/>
      <c r="IH180" s="173"/>
    </row>
    <row r="181" spans="2:249" s="171" customFormat="1" ht="15" hidden="1" customHeight="1" x14ac:dyDescent="0.25">
      <c r="B181" s="160"/>
      <c r="C181" s="161" t="s">
        <v>146</v>
      </c>
      <c r="D181" s="162"/>
      <c r="E181" s="163">
        <f t="shared" si="391"/>
        <v>0</v>
      </c>
      <c r="F181" s="163"/>
      <c r="G181" s="163"/>
      <c r="H181" s="163">
        <f t="shared" si="392"/>
        <v>0</v>
      </c>
      <c r="I181" s="163">
        <f>L181-F181</f>
        <v>0</v>
      </c>
      <c r="J181" s="163"/>
      <c r="K181" s="163">
        <f t="shared" si="393"/>
        <v>0</v>
      </c>
      <c r="L181" s="163"/>
      <c r="M181" s="163"/>
      <c r="N181" s="163">
        <f t="shared" si="394"/>
        <v>0</v>
      </c>
      <c r="O181" s="163">
        <f>R181-L181</f>
        <v>0</v>
      </c>
      <c r="P181" s="163"/>
      <c r="Q181" s="164">
        <f t="shared" si="395"/>
        <v>0</v>
      </c>
      <c r="R181" s="164"/>
      <c r="S181" s="164"/>
      <c r="T181" s="164">
        <f t="shared" si="396"/>
        <v>0</v>
      </c>
      <c r="U181" s="164"/>
      <c r="V181" s="164"/>
      <c r="W181" s="164">
        <f t="shared" si="397"/>
        <v>0</v>
      </c>
      <c r="X181" s="164">
        <f>AA181-U181</f>
        <v>0</v>
      </c>
      <c r="Y181" s="164"/>
      <c r="Z181" s="164">
        <f t="shared" si="398"/>
        <v>0</v>
      </c>
      <c r="AA181" s="164"/>
      <c r="AB181" s="164"/>
      <c r="AC181" s="164">
        <f t="shared" si="399"/>
        <v>35965.071989999997</v>
      </c>
      <c r="AD181" s="164">
        <f>AG181-AA181</f>
        <v>35965.071989999997</v>
      </c>
      <c r="AE181" s="164"/>
      <c r="AF181" s="164">
        <f t="shared" si="400"/>
        <v>35965.071989999997</v>
      </c>
      <c r="AG181" s="164">
        <v>35965.071989999997</v>
      </c>
      <c r="AH181" s="164"/>
      <c r="AI181" s="165">
        <f t="shared" si="401"/>
        <v>0</v>
      </c>
      <c r="AJ181" s="164"/>
      <c r="AK181" s="165">
        <f t="shared" si="402"/>
        <v>0</v>
      </c>
      <c r="AL181" s="165">
        <f t="shared" si="402"/>
        <v>0</v>
      </c>
      <c r="AM181" s="164"/>
      <c r="AN181" s="164"/>
      <c r="AO181" s="166">
        <v>1</v>
      </c>
      <c r="AP181" s="164"/>
      <c r="AQ181" s="164"/>
      <c r="AR181" s="164">
        <f t="shared" si="426"/>
        <v>35965.071989999997</v>
      </c>
      <c r="AS181" s="164">
        <f t="shared" si="403"/>
        <v>205500</v>
      </c>
      <c r="AT181" s="164">
        <v>205500</v>
      </c>
      <c r="AU181" s="164">
        <v>0</v>
      </c>
      <c r="AV181" s="164">
        <f t="shared" si="404"/>
        <v>68200</v>
      </c>
      <c r="AW181" s="164">
        <v>68200</v>
      </c>
      <c r="AX181" s="164"/>
      <c r="AY181" s="164">
        <f t="shared" si="405"/>
        <v>273700</v>
      </c>
      <c r="AZ181" s="164">
        <f>AT181+AW181</f>
        <v>273700</v>
      </c>
      <c r="BA181" s="164"/>
      <c r="BB181" s="164">
        <f t="shared" si="406"/>
        <v>0</v>
      </c>
      <c r="BC181" s="164"/>
      <c r="BD181" s="164"/>
      <c r="BE181" s="164">
        <f t="shared" si="407"/>
        <v>0</v>
      </c>
      <c r="BF181" s="164">
        <f>BW181-BC181</f>
        <v>0</v>
      </c>
      <c r="BG181" s="164"/>
      <c r="BH181" s="164">
        <f t="shared" si="408"/>
        <v>387274.83100000001</v>
      </c>
      <c r="BI181" s="164">
        <v>387274.83100000001</v>
      </c>
      <c r="BJ181" s="164"/>
      <c r="BK181" s="167">
        <v>1</v>
      </c>
      <c r="BL181" s="168">
        <f t="shared" si="409"/>
        <v>273700</v>
      </c>
      <c r="BM181" s="168"/>
      <c r="BN181" s="168"/>
      <c r="BO181" s="168"/>
      <c r="BP181" s="168"/>
      <c r="BQ181" s="168"/>
      <c r="BR181" s="168"/>
      <c r="BS181" s="168">
        <f>BT181+BU181</f>
        <v>273700</v>
      </c>
      <c r="BT181" s="168">
        <f>AZ181-BN181-BQ181</f>
        <v>273700</v>
      </c>
      <c r="BU181" s="168"/>
      <c r="BV181" s="164">
        <f t="shared" si="410"/>
        <v>0</v>
      </c>
      <c r="BW181" s="164"/>
      <c r="BX181" s="164"/>
      <c r="BY181" s="164">
        <f t="shared" si="411"/>
        <v>0</v>
      </c>
      <c r="BZ181" s="164"/>
      <c r="CA181" s="164"/>
      <c r="CB181" s="164">
        <f t="shared" si="412"/>
        <v>387274.83100000001</v>
      </c>
      <c r="CC181" s="164">
        <f>BI181</f>
        <v>387274.83100000001</v>
      </c>
      <c r="CD181" s="164"/>
      <c r="CE181" s="168">
        <v>1</v>
      </c>
      <c r="CF181" s="168">
        <f t="shared" si="413"/>
        <v>387274.83100000001</v>
      </c>
      <c r="CG181" s="164"/>
      <c r="CH181" s="164">
        <f t="shared" si="414"/>
        <v>0</v>
      </c>
      <c r="CI181" s="164">
        <v>0</v>
      </c>
      <c r="CJ181" s="164">
        <v>0</v>
      </c>
      <c r="CK181" s="164">
        <f t="shared" si="415"/>
        <v>244084.55559999999</v>
      </c>
      <c r="CL181" s="164">
        <f>CR181-CI181</f>
        <v>244084.55559999999</v>
      </c>
      <c r="CM181" s="164"/>
      <c r="CN181" s="164"/>
      <c r="CO181" s="164"/>
      <c r="CP181" s="164"/>
      <c r="CQ181" s="164">
        <f t="shared" si="416"/>
        <v>244084.55559999999</v>
      </c>
      <c r="CR181" s="164">
        <v>244084.55559999999</v>
      </c>
      <c r="CS181" s="164">
        <v>0</v>
      </c>
      <c r="CT181" s="164">
        <f t="shared" si="417"/>
        <v>0</v>
      </c>
      <c r="CU181" s="164"/>
      <c r="CV181" s="164"/>
      <c r="CW181" s="164">
        <f t="shared" si="383"/>
        <v>436885.24421999999</v>
      </c>
      <c r="CX181" s="164">
        <v>436885.24421999999</v>
      </c>
      <c r="CY181" s="164"/>
      <c r="CZ181" s="164">
        <f t="shared" si="418"/>
        <v>244084.55559999999</v>
      </c>
      <c r="DA181" s="164">
        <v>244084.55559999999</v>
      </c>
      <c r="DB181" s="164">
        <v>0</v>
      </c>
      <c r="DC181" s="164"/>
      <c r="DD181" s="164"/>
      <c r="DE181" s="164"/>
      <c r="DF181" s="164">
        <f t="shared" si="384"/>
        <v>-436885.24421999999</v>
      </c>
      <c r="DG181" s="164">
        <f>DJ181-CX181</f>
        <v>-436885.24421999999</v>
      </c>
      <c r="DH181" s="164"/>
      <c r="DI181" s="164">
        <f t="shared" si="385"/>
        <v>0</v>
      </c>
      <c r="DJ181" s="164">
        <v>0</v>
      </c>
      <c r="DK181" s="164"/>
      <c r="DL181" s="164">
        <f t="shared" si="386"/>
        <v>426374.32469000004</v>
      </c>
      <c r="DM181" s="164">
        <f>387274.831+39099.49369</f>
        <v>426374.32469000004</v>
      </c>
      <c r="DN181" s="164"/>
      <c r="DO181" s="164">
        <f t="shared" si="387"/>
        <v>0</v>
      </c>
      <c r="DP181" s="164">
        <v>0</v>
      </c>
      <c r="DQ181" s="164"/>
      <c r="DR181" s="164">
        <f t="shared" si="419"/>
        <v>-426374.32469000004</v>
      </c>
      <c r="DS181" s="164">
        <f>DJ181-DM181-DP181</f>
        <v>-426374.32469000004</v>
      </c>
      <c r="DT181" s="164"/>
      <c r="DU181" s="164">
        <f t="shared" si="420"/>
        <v>244084.55559999999</v>
      </c>
      <c r="DV181" s="164">
        <v>244084.55559999999</v>
      </c>
      <c r="DW181" s="164"/>
      <c r="DX181" s="164">
        <f t="shared" si="421"/>
        <v>0</v>
      </c>
      <c r="DY181" s="164">
        <v>0</v>
      </c>
      <c r="DZ181" s="164">
        <v>0</v>
      </c>
      <c r="EA181" s="164"/>
      <c r="EB181" s="164"/>
      <c r="EC181" s="164"/>
      <c r="ED181" s="106">
        <f t="shared" si="390"/>
        <v>-244084.55559999999</v>
      </c>
      <c r="EE181" s="164">
        <f>EH181-DV181</f>
        <v>-244084.55559999999</v>
      </c>
      <c r="EF181" s="164"/>
      <c r="EG181" s="164">
        <f>EH181+EJ181</f>
        <v>0</v>
      </c>
      <c r="EH181" s="164">
        <v>0</v>
      </c>
      <c r="EI181" s="164"/>
      <c r="EJ181" s="164"/>
      <c r="EK181" s="164">
        <f t="shared" si="422"/>
        <v>0</v>
      </c>
      <c r="EL181" s="164"/>
      <c r="EM181" s="164"/>
      <c r="EN181" s="164"/>
      <c r="EO181" s="164">
        <f t="shared" si="423"/>
        <v>0</v>
      </c>
      <c r="EP181" s="164"/>
      <c r="EQ181" s="164"/>
      <c r="ER181" s="164"/>
      <c r="ES181" s="163">
        <f t="shared" si="388"/>
        <v>0</v>
      </c>
      <c r="ET181" s="164">
        <v>0</v>
      </c>
      <c r="EU181" s="164"/>
      <c r="EV181" s="164"/>
      <c r="EW181" s="164">
        <f t="shared" si="389"/>
        <v>0</v>
      </c>
      <c r="EX181" s="164">
        <v>0</v>
      </c>
      <c r="EY181" s="164">
        <v>0</v>
      </c>
      <c r="EZ181" s="164"/>
      <c r="FA181" s="164"/>
      <c r="FB181" s="164"/>
      <c r="FC181" s="143">
        <f t="shared" si="373"/>
        <v>0</v>
      </c>
      <c r="FD181" s="163">
        <v>0</v>
      </c>
      <c r="FE181" s="163"/>
      <c r="FF181" s="163"/>
      <c r="FG181" s="163">
        <f t="shared" si="424"/>
        <v>0</v>
      </c>
      <c r="FH181" s="163">
        <f>FD181</f>
        <v>0</v>
      </c>
      <c r="FI181" s="163"/>
      <c r="FJ181" s="163"/>
      <c r="FK181" s="163">
        <f t="shared" si="425"/>
        <v>0</v>
      </c>
      <c r="FL181" s="163"/>
      <c r="FM181" s="163"/>
      <c r="FN181" s="163"/>
      <c r="FO181" s="143">
        <f t="shared" si="374"/>
        <v>0</v>
      </c>
      <c r="FP181" s="163">
        <v>0</v>
      </c>
      <c r="FQ181" s="163"/>
      <c r="FR181" s="143">
        <f t="shared" si="375"/>
        <v>0</v>
      </c>
      <c r="FS181" s="39">
        <f t="shared" si="338"/>
        <v>0</v>
      </c>
      <c r="FT181" s="485" t="e">
        <f t="shared" si="355"/>
        <v>#DIV/0!</v>
      </c>
      <c r="FU181" s="39">
        <v>0</v>
      </c>
      <c r="FV181" s="485" t="e">
        <f t="shared" si="356"/>
        <v>#DIV/0!</v>
      </c>
      <c r="FW181" s="38">
        <f t="shared" si="357"/>
        <v>0</v>
      </c>
      <c r="FX181" s="660" t="e">
        <f t="shared" si="358"/>
        <v>#DIV/0!</v>
      </c>
      <c r="FY181" s="39">
        <f t="shared" si="359"/>
        <v>0</v>
      </c>
      <c r="FZ181" s="660" t="e">
        <f t="shared" si="360"/>
        <v>#DIV/0!</v>
      </c>
      <c r="GA181" s="39">
        <f t="shared" si="361"/>
        <v>0</v>
      </c>
      <c r="GB181" s="485" t="e">
        <f t="shared" si="362"/>
        <v>#DIV/0!</v>
      </c>
      <c r="GC181" s="39">
        <v>0</v>
      </c>
      <c r="GD181" s="485" t="e">
        <f t="shared" si="376"/>
        <v>#DIV/0!</v>
      </c>
      <c r="GE181" s="82"/>
      <c r="GF181" s="498"/>
      <c r="GG181" s="82">
        <f t="shared" si="363"/>
        <v>0</v>
      </c>
      <c r="GH181" s="498" t="e">
        <f t="shared" si="364"/>
        <v>#DIV/0!</v>
      </c>
      <c r="GI181" s="90">
        <f t="shared" si="365"/>
        <v>0</v>
      </c>
      <c r="GJ181" s="485" t="e">
        <f t="shared" si="366"/>
        <v>#DIV/0!</v>
      </c>
      <c r="GK181" s="90">
        <f t="shared" si="367"/>
        <v>0</v>
      </c>
      <c r="GL181" s="485" t="e">
        <f t="shared" si="368"/>
        <v>#DIV/0!</v>
      </c>
      <c r="GM181" s="90">
        <f t="shared" si="369"/>
        <v>0</v>
      </c>
      <c r="GN181" s="485" t="e">
        <f t="shared" si="370"/>
        <v>#DIV/0!</v>
      </c>
      <c r="GO181" s="90">
        <f t="shared" si="371"/>
        <v>0</v>
      </c>
      <c r="GP181" s="485" t="e">
        <f t="shared" si="372"/>
        <v>#DIV/0!</v>
      </c>
      <c r="GQ181" s="144"/>
      <c r="GR181" s="144"/>
      <c r="GS181" s="144"/>
      <c r="GT181" s="144"/>
      <c r="GU181" s="144">
        <f t="shared" si="377"/>
        <v>0</v>
      </c>
      <c r="GV181" s="164">
        <v>0</v>
      </c>
      <c r="GW181" s="164"/>
      <c r="GX181" s="164"/>
      <c r="GY181" s="164"/>
      <c r="GZ181" s="164"/>
      <c r="HA181" s="164"/>
      <c r="HB181" s="164"/>
      <c r="HC181" s="164"/>
      <c r="HD181" s="164"/>
      <c r="HE181" s="164"/>
      <c r="HF181" s="164"/>
      <c r="HG181" s="144">
        <f t="shared" si="378"/>
        <v>0</v>
      </c>
      <c r="HH181" s="164">
        <v>0</v>
      </c>
      <c r="HI181" s="164"/>
      <c r="HJ181" s="164"/>
      <c r="HK181" s="164">
        <f>HL181+HN181</f>
        <v>0</v>
      </c>
      <c r="HL181" s="164">
        <v>0</v>
      </c>
      <c r="HM181" s="164"/>
      <c r="HN181" s="164"/>
      <c r="HO181" s="144">
        <f t="shared" si="379"/>
        <v>0</v>
      </c>
      <c r="HP181" s="164">
        <v>0</v>
      </c>
      <c r="HQ181" s="164"/>
      <c r="HR181" s="164"/>
      <c r="HS181" s="164">
        <f>HT181+HV181</f>
        <v>0</v>
      </c>
      <c r="HT181" s="164">
        <v>0</v>
      </c>
      <c r="HU181" s="164"/>
      <c r="HV181" s="164"/>
      <c r="HW181" s="164">
        <f>HX181+HZ181</f>
        <v>0</v>
      </c>
      <c r="HX181" s="164">
        <v>0</v>
      </c>
      <c r="HY181" s="164"/>
      <c r="HZ181" s="164"/>
      <c r="IA181" s="164">
        <f>IB181+ID181</f>
        <v>0</v>
      </c>
      <c r="IB181" s="164">
        <v>0</v>
      </c>
      <c r="IC181" s="164"/>
      <c r="ID181" s="164"/>
      <c r="IE181" s="200"/>
      <c r="IF181" s="170"/>
      <c r="IG181" s="170"/>
      <c r="IH181" s="170"/>
    </row>
    <row r="182" spans="2:249" s="171" customFormat="1" ht="15" hidden="1" customHeight="1" x14ac:dyDescent="0.25">
      <c r="B182" s="160"/>
      <c r="C182" s="161" t="s">
        <v>172</v>
      </c>
      <c r="D182" s="162" t="s">
        <v>149</v>
      </c>
      <c r="E182" s="163">
        <f t="shared" si="391"/>
        <v>0</v>
      </c>
      <c r="F182" s="163"/>
      <c r="G182" s="163"/>
      <c r="H182" s="163">
        <f t="shared" si="392"/>
        <v>0</v>
      </c>
      <c r="I182" s="163">
        <f>L182-F182</f>
        <v>0</v>
      </c>
      <c r="J182" s="163"/>
      <c r="K182" s="163">
        <f t="shared" si="393"/>
        <v>0</v>
      </c>
      <c r="L182" s="163"/>
      <c r="M182" s="163"/>
      <c r="N182" s="163">
        <f t="shared" si="394"/>
        <v>0</v>
      </c>
      <c r="O182" s="163">
        <f>R182-L182</f>
        <v>0</v>
      </c>
      <c r="P182" s="163"/>
      <c r="Q182" s="164">
        <f t="shared" si="395"/>
        <v>0</v>
      </c>
      <c r="R182" s="164"/>
      <c r="S182" s="164"/>
      <c r="T182" s="164">
        <f t="shared" si="396"/>
        <v>0</v>
      </c>
      <c r="U182" s="164"/>
      <c r="V182" s="164"/>
      <c r="W182" s="164">
        <f t="shared" si="397"/>
        <v>0</v>
      </c>
      <c r="X182" s="164">
        <f>AA182-U182</f>
        <v>0</v>
      </c>
      <c r="Y182" s="164"/>
      <c r="Z182" s="164">
        <f t="shared" si="398"/>
        <v>0</v>
      </c>
      <c r="AA182" s="164"/>
      <c r="AB182" s="164"/>
      <c r="AC182" s="164">
        <f t="shared" si="399"/>
        <v>0</v>
      </c>
      <c r="AD182" s="164"/>
      <c r="AE182" s="164"/>
      <c r="AF182" s="164">
        <f t="shared" si="400"/>
        <v>0</v>
      </c>
      <c r="AG182" s="164"/>
      <c r="AH182" s="164"/>
      <c r="AI182" s="165">
        <f t="shared" si="401"/>
        <v>0</v>
      </c>
      <c r="AJ182" s="164"/>
      <c r="AK182" s="165">
        <f t="shared" si="402"/>
        <v>0</v>
      </c>
      <c r="AL182" s="165">
        <f t="shared" si="402"/>
        <v>0</v>
      </c>
      <c r="AM182" s="164"/>
      <c r="AN182" s="164"/>
      <c r="AO182" s="166">
        <v>1</v>
      </c>
      <c r="AP182" s="164"/>
      <c r="AQ182" s="164"/>
      <c r="AR182" s="164">
        <f t="shared" si="426"/>
        <v>0</v>
      </c>
      <c r="AS182" s="164">
        <f t="shared" si="403"/>
        <v>0</v>
      </c>
      <c r="AT182" s="164"/>
      <c r="AU182" s="164"/>
      <c r="AV182" s="164">
        <f t="shared" si="404"/>
        <v>0</v>
      </c>
      <c r="AW182" s="164">
        <f>AZ182-AT182</f>
        <v>0</v>
      </c>
      <c r="AX182" s="164"/>
      <c r="AY182" s="164">
        <f t="shared" si="405"/>
        <v>0</v>
      </c>
      <c r="AZ182" s="164"/>
      <c r="BA182" s="164"/>
      <c r="BB182" s="164">
        <f t="shared" si="406"/>
        <v>0</v>
      </c>
      <c r="BC182" s="164"/>
      <c r="BD182" s="164"/>
      <c r="BE182" s="164">
        <f t="shared" si="407"/>
        <v>0</v>
      </c>
      <c r="BF182" s="164">
        <f>BW182-BC182</f>
        <v>0</v>
      </c>
      <c r="BG182" s="164"/>
      <c r="BH182" s="164">
        <f t="shared" si="408"/>
        <v>4953.97</v>
      </c>
      <c r="BI182" s="164">
        <v>4953.97</v>
      </c>
      <c r="BJ182" s="164"/>
      <c r="BK182" s="167">
        <v>1</v>
      </c>
      <c r="BL182" s="168">
        <f t="shared" si="409"/>
        <v>0</v>
      </c>
      <c r="BM182" s="168"/>
      <c r="BN182" s="168"/>
      <c r="BO182" s="168"/>
      <c r="BP182" s="168"/>
      <c r="BQ182" s="168"/>
      <c r="BR182" s="168"/>
      <c r="BS182" s="168"/>
      <c r="BT182" s="168"/>
      <c r="BU182" s="168"/>
      <c r="BV182" s="164">
        <f t="shared" si="410"/>
        <v>0</v>
      </c>
      <c r="BW182" s="164"/>
      <c r="BX182" s="164"/>
      <c r="BY182" s="164">
        <f t="shared" si="411"/>
        <v>0</v>
      </c>
      <c r="BZ182" s="164">
        <f>CC182-BI182</f>
        <v>0</v>
      </c>
      <c r="CA182" s="164"/>
      <c r="CB182" s="164">
        <f t="shared" si="412"/>
        <v>4953.97</v>
      </c>
      <c r="CC182" s="164">
        <f>BI182</f>
        <v>4953.97</v>
      </c>
      <c r="CD182" s="164"/>
      <c r="CE182" s="168">
        <v>1</v>
      </c>
      <c r="CF182" s="168">
        <f t="shared" si="413"/>
        <v>4953.97</v>
      </c>
      <c r="CG182" s="164"/>
      <c r="CH182" s="164">
        <f t="shared" si="414"/>
        <v>0</v>
      </c>
      <c r="CI182" s="164"/>
      <c r="CJ182" s="164"/>
      <c r="CK182" s="164">
        <f t="shared" si="415"/>
        <v>4376.7443999999996</v>
      </c>
      <c r="CL182" s="164">
        <f>CR182-CI182</f>
        <v>4376.7443999999996</v>
      </c>
      <c r="CM182" s="164"/>
      <c r="CN182" s="164"/>
      <c r="CO182" s="164"/>
      <c r="CP182" s="164"/>
      <c r="CQ182" s="164">
        <f t="shared" si="416"/>
        <v>4376.7443999999996</v>
      </c>
      <c r="CR182" s="164">
        <v>4376.7443999999996</v>
      </c>
      <c r="CS182" s="164"/>
      <c r="CT182" s="164">
        <f t="shared" si="417"/>
        <v>0</v>
      </c>
      <c r="CU182" s="164"/>
      <c r="CV182" s="164"/>
      <c r="CW182" s="164">
        <f t="shared" si="383"/>
        <v>14371.736209999999</v>
      </c>
      <c r="CX182" s="164">
        <v>14371.736209999999</v>
      </c>
      <c r="CY182" s="164"/>
      <c r="CZ182" s="164">
        <f t="shared" si="418"/>
        <v>4376.7443999999996</v>
      </c>
      <c r="DA182" s="164">
        <v>4376.7443999999996</v>
      </c>
      <c r="DB182" s="164"/>
      <c r="DC182" s="164"/>
      <c r="DD182" s="164"/>
      <c r="DE182" s="164"/>
      <c r="DF182" s="164">
        <f t="shared" si="384"/>
        <v>-14371.736209999999</v>
      </c>
      <c r="DG182" s="164">
        <f>DJ182-CX182</f>
        <v>-14371.736209999999</v>
      </c>
      <c r="DH182" s="164"/>
      <c r="DI182" s="164">
        <f t="shared" si="385"/>
        <v>0</v>
      </c>
      <c r="DJ182" s="164">
        <v>0</v>
      </c>
      <c r="DK182" s="164"/>
      <c r="DL182" s="164">
        <f t="shared" si="386"/>
        <v>14344.736209999999</v>
      </c>
      <c r="DM182" s="164">
        <f>4953.97+9390.76621</f>
        <v>14344.736209999999</v>
      </c>
      <c r="DN182" s="164"/>
      <c r="DO182" s="164">
        <f t="shared" si="387"/>
        <v>0</v>
      </c>
      <c r="DP182" s="164">
        <f>DD182</f>
        <v>0</v>
      </c>
      <c r="DQ182" s="164"/>
      <c r="DR182" s="164">
        <f t="shared" si="419"/>
        <v>-14344.736209999999</v>
      </c>
      <c r="DS182" s="164">
        <f>DJ182-DM182-DP182</f>
        <v>-14344.736209999999</v>
      </c>
      <c r="DT182" s="164"/>
      <c r="DU182" s="164">
        <f t="shared" si="420"/>
        <v>4376.7443999999996</v>
      </c>
      <c r="DV182" s="164">
        <v>4376.7443999999996</v>
      </c>
      <c r="DW182" s="164"/>
      <c r="DX182" s="164">
        <f t="shared" si="421"/>
        <v>0</v>
      </c>
      <c r="DY182" s="164">
        <v>0</v>
      </c>
      <c r="DZ182" s="164"/>
      <c r="EA182" s="164"/>
      <c r="EB182" s="164"/>
      <c r="EC182" s="164"/>
      <c r="ED182" s="106">
        <f t="shared" si="390"/>
        <v>-4376.7443999999996</v>
      </c>
      <c r="EE182" s="164">
        <f>EH182-DV182</f>
        <v>-4376.7443999999996</v>
      </c>
      <c r="EF182" s="164"/>
      <c r="EG182" s="164">
        <f>EH182+EJ182</f>
        <v>0</v>
      </c>
      <c r="EH182" s="164">
        <v>0</v>
      </c>
      <c r="EI182" s="164"/>
      <c r="EJ182" s="164"/>
      <c r="EK182" s="164">
        <f t="shared" si="422"/>
        <v>0</v>
      </c>
      <c r="EL182" s="164"/>
      <c r="EM182" s="164"/>
      <c r="EN182" s="164"/>
      <c r="EO182" s="164">
        <f t="shared" si="423"/>
        <v>0</v>
      </c>
      <c r="EP182" s="164"/>
      <c r="EQ182" s="164"/>
      <c r="ER182" s="164"/>
      <c r="ES182" s="163">
        <f t="shared" si="388"/>
        <v>0</v>
      </c>
      <c r="ET182" s="164">
        <v>0</v>
      </c>
      <c r="EU182" s="164"/>
      <c r="EV182" s="164"/>
      <c r="EW182" s="164">
        <f t="shared" si="389"/>
        <v>0</v>
      </c>
      <c r="EX182" s="164">
        <v>0</v>
      </c>
      <c r="EY182" s="164"/>
      <c r="EZ182" s="164"/>
      <c r="FA182" s="164"/>
      <c r="FB182" s="164"/>
      <c r="FC182" s="143">
        <f t="shared" si="373"/>
        <v>0</v>
      </c>
      <c r="FD182" s="163">
        <v>0</v>
      </c>
      <c r="FE182" s="163"/>
      <c r="FF182" s="163"/>
      <c r="FG182" s="163">
        <f t="shared" si="424"/>
        <v>0</v>
      </c>
      <c r="FH182" s="163"/>
      <c r="FI182" s="163"/>
      <c r="FJ182" s="163"/>
      <c r="FK182" s="163">
        <f t="shared" si="425"/>
        <v>0</v>
      </c>
      <c r="FL182" s="163"/>
      <c r="FM182" s="163"/>
      <c r="FN182" s="163"/>
      <c r="FO182" s="143">
        <f t="shared" si="374"/>
        <v>0</v>
      </c>
      <c r="FP182" s="163">
        <v>0</v>
      </c>
      <c r="FQ182" s="163"/>
      <c r="FR182" s="143">
        <f t="shared" si="375"/>
        <v>0</v>
      </c>
      <c r="FS182" s="39">
        <f t="shared" si="338"/>
        <v>0</v>
      </c>
      <c r="FT182" s="485" t="e">
        <f t="shared" si="355"/>
        <v>#DIV/0!</v>
      </c>
      <c r="FU182" s="39">
        <v>0</v>
      </c>
      <c r="FV182" s="485" t="e">
        <f t="shared" si="356"/>
        <v>#DIV/0!</v>
      </c>
      <c r="FW182" s="38">
        <f t="shared" si="357"/>
        <v>0</v>
      </c>
      <c r="FX182" s="660" t="e">
        <f t="shared" si="358"/>
        <v>#DIV/0!</v>
      </c>
      <c r="FY182" s="39">
        <f t="shared" si="359"/>
        <v>0</v>
      </c>
      <c r="FZ182" s="660" t="e">
        <f t="shared" si="360"/>
        <v>#DIV/0!</v>
      </c>
      <c r="GA182" s="39">
        <f t="shared" si="361"/>
        <v>0</v>
      </c>
      <c r="GB182" s="485" t="e">
        <f t="shared" si="362"/>
        <v>#DIV/0!</v>
      </c>
      <c r="GC182" s="39">
        <v>0</v>
      </c>
      <c r="GD182" s="485" t="e">
        <f t="shared" si="376"/>
        <v>#DIV/0!</v>
      </c>
      <c r="GE182" s="82"/>
      <c r="GF182" s="498"/>
      <c r="GG182" s="82">
        <f t="shared" si="363"/>
        <v>0</v>
      </c>
      <c r="GH182" s="498" t="e">
        <f t="shared" si="364"/>
        <v>#DIV/0!</v>
      </c>
      <c r="GI182" s="90">
        <f t="shared" si="365"/>
        <v>0</v>
      </c>
      <c r="GJ182" s="485" t="e">
        <f t="shared" si="366"/>
        <v>#DIV/0!</v>
      </c>
      <c r="GK182" s="90">
        <f t="shared" si="367"/>
        <v>0</v>
      </c>
      <c r="GL182" s="485" t="e">
        <f t="shared" si="368"/>
        <v>#DIV/0!</v>
      </c>
      <c r="GM182" s="90">
        <f t="shared" si="369"/>
        <v>0</v>
      </c>
      <c r="GN182" s="485" t="e">
        <f t="shared" si="370"/>
        <v>#DIV/0!</v>
      </c>
      <c r="GO182" s="90">
        <f t="shared" si="371"/>
        <v>0</v>
      </c>
      <c r="GP182" s="485" t="e">
        <f t="shared" si="372"/>
        <v>#DIV/0!</v>
      </c>
      <c r="GQ182" s="144"/>
      <c r="GR182" s="144"/>
      <c r="GS182" s="144"/>
      <c r="GT182" s="144"/>
      <c r="GU182" s="144">
        <f t="shared" si="377"/>
        <v>0</v>
      </c>
      <c r="GV182" s="164">
        <v>0</v>
      </c>
      <c r="GW182" s="164"/>
      <c r="GX182" s="164"/>
      <c r="GY182" s="164"/>
      <c r="GZ182" s="164"/>
      <c r="HA182" s="164"/>
      <c r="HB182" s="164"/>
      <c r="HC182" s="164"/>
      <c r="HD182" s="164"/>
      <c r="HE182" s="164"/>
      <c r="HF182" s="164"/>
      <c r="HG182" s="144">
        <f t="shared" si="378"/>
        <v>0</v>
      </c>
      <c r="HH182" s="164">
        <v>0</v>
      </c>
      <c r="HI182" s="164"/>
      <c r="HJ182" s="164"/>
      <c r="HK182" s="164">
        <f>HL182+HN182</f>
        <v>0</v>
      </c>
      <c r="HL182" s="164">
        <v>0</v>
      </c>
      <c r="HM182" s="164"/>
      <c r="HN182" s="164"/>
      <c r="HO182" s="144">
        <f t="shared" si="379"/>
        <v>0</v>
      </c>
      <c r="HP182" s="164">
        <v>0</v>
      </c>
      <c r="HQ182" s="164"/>
      <c r="HR182" s="164"/>
      <c r="HS182" s="164">
        <f>HT182+HV182</f>
        <v>0</v>
      </c>
      <c r="HT182" s="164">
        <v>0</v>
      </c>
      <c r="HU182" s="164"/>
      <c r="HV182" s="164"/>
      <c r="HW182" s="164">
        <f>HX182+HZ182</f>
        <v>0</v>
      </c>
      <c r="HX182" s="164">
        <v>0</v>
      </c>
      <c r="HY182" s="164"/>
      <c r="HZ182" s="164"/>
      <c r="IA182" s="164">
        <f>IB182+ID182</f>
        <v>0</v>
      </c>
      <c r="IB182" s="164">
        <v>0</v>
      </c>
      <c r="IC182" s="164"/>
      <c r="ID182" s="164"/>
      <c r="IE182" s="200"/>
      <c r="IF182" s="170"/>
      <c r="IG182" s="170"/>
      <c r="IH182" s="170"/>
    </row>
    <row r="183" spans="2:249" s="177" customFormat="1" ht="155.25" hidden="1" customHeight="1" x14ac:dyDescent="0.25">
      <c r="B183" s="100" t="s">
        <v>76</v>
      </c>
      <c r="C183" s="101" t="s">
        <v>287</v>
      </c>
      <c r="D183" s="102"/>
      <c r="E183" s="103">
        <f t="shared" si="391"/>
        <v>0</v>
      </c>
      <c r="F183" s="104">
        <f>SUM(F184:F185)</f>
        <v>0</v>
      </c>
      <c r="G183" s="104">
        <f>SUM(G184:G185)</f>
        <v>0</v>
      </c>
      <c r="H183" s="103">
        <f t="shared" si="392"/>
        <v>0</v>
      </c>
      <c r="I183" s="104">
        <f>SUM(I184:I185)</f>
        <v>0</v>
      </c>
      <c r="J183" s="104"/>
      <c r="K183" s="103">
        <f t="shared" si="393"/>
        <v>0</v>
      </c>
      <c r="L183" s="104">
        <f>SUM(L184:L185)</f>
        <v>0</v>
      </c>
      <c r="M183" s="104">
        <f>SUM(M184:M185)</f>
        <v>0</v>
      </c>
      <c r="N183" s="103">
        <f t="shared" si="394"/>
        <v>0</v>
      </c>
      <c r="O183" s="104">
        <f>SUM(O184:O185)</f>
        <v>0</v>
      </c>
      <c r="P183" s="104"/>
      <c r="Q183" s="105">
        <f t="shared" si="395"/>
        <v>0</v>
      </c>
      <c r="R183" s="106">
        <f>SUM(R184:R185)</f>
        <v>0</v>
      </c>
      <c r="S183" s="106">
        <f>SUM(S184:S185)</f>
        <v>0</v>
      </c>
      <c r="T183" s="105">
        <f t="shared" si="396"/>
        <v>0</v>
      </c>
      <c r="U183" s="106">
        <f>SUM(U184:U185)</f>
        <v>0</v>
      </c>
      <c r="V183" s="106">
        <f>SUM(V184:V185)</f>
        <v>0</v>
      </c>
      <c r="W183" s="105">
        <f t="shared" si="397"/>
        <v>0</v>
      </c>
      <c r="X183" s="106">
        <f>SUM(X184:X185)</f>
        <v>0</v>
      </c>
      <c r="Y183" s="106"/>
      <c r="Z183" s="105">
        <f t="shared" si="398"/>
        <v>0</v>
      </c>
      <c r="AA183" s="106">
        <f>SUM(AA184:AA185)</f>
        <v>0</v>
      </c>
      <c r="AB183" s="106">
        <f>SUM(AB184:AB185)</f>
        <v>0</v>
      </c>
      <c r="AC183" s="105">
        <f t="shared" si="399"/>
        <v>35965.071989999997</v>
      </c>
      <c r="AD183" s="106">
        <f>SUM(AD184:AD185)</f>
        <v>35965.071989999997</v>
      </c>
      <c r="AE183" s="106">
        <f>SUM(AE184:AE185)</f>
        <v>0</v>
      </c>
      <c r="AF183" s="105">
        <f t="shared" si="400"/>
        <v>35965.071989999997</v>
      </c>
      <c r="AG183" s="106">
        <f>SUM(AG184:AG185)</f>
        <v>35965.071989999997</v>
      </c>
      <c r="AH183" s="106">
        <f>SUM(AH184:AH185)</f>
        <v>0</v>
      </c>
      <c r="AI183" s="106">
        <f t="shared" si="401"/>
        <v>0</v>
      </c>
      <c r="AJ183" s="106"/>
      <c r="AK183" s="106">
        <f t="shared" si="402"/>
        <v>0</v>
      </c>
      <c r="AL183" s="106">
        <f t="shared" si="402"/>
        <v>0</v>
      </c>
      <c r="AM183" s="106"/>
      <c r="AN183" s="106"/>
      <c r="AO183" s="109">
        <v>1</v>
      </c>
      <c r="AP183" s="106"/>
      <c r="AQ183" s="106"/>
      <c r="AR183" s="153">
        <f t="shared" si="426"/>
        <v>35965.071989999997</v>
      </c>
      <c r="AS183" s="105">
        <f t="shared" si="403"/>
        <v>205500</v>
      </c>
      <c r="AT183" s="106">
        <f>SUM(AT184:AT185)</f>
        <v>205500</v>
      </c>
      <c r="AU183" s="106">
        <f>SUM(AU184:AU185)</f>
        <v>0</v>
      </c>
      <c r="AV183" s="105">
        <f t="shared" si="404"/>
        <v>68200</v>
      </c>
      <c r="AW183" s="106">
        <f>SUM(AW184:AW185)</f>
        <v>68200</v>
      </c>
      <c r="AX183" s="106"/>
      <c r="AY183" s="105">
        <f t="shared" si="405"/>
        <v>273700</v>
      </c>
      <c r="AZ183" s="106">
        <f>SUM(AZ184:AZ185)</f>
        <v>273700</v>
      </c>
      <c r="BA183" s="106">
        <f>SUM(BA184:BA185)</f>
        <v>0</v>
      </c>
      <c r="BB183" s="105">
        <f t="shared" si="406"/>
        <v>0</v>
      </c>
      <c r="BC183" s="106">
        <f>SUM(BC184:BC185)</f>
        <v>0</v>
      </c>
      <c r="BD183" s="106">
        <f>SUM(BD184:BD185)</f>
        <v>0</v>
      </c>
      <c r="BE183" s="105">
        <f t="shared" si="407"/>
        <v>0</v>
      </c>
      <c r="BF183" s="106">
        <f>SUM(BF184:BF185)</f>
        <v>0</v>
      </c>
      <c r="BG183" s="106"/>
      <c r="BH183" s="105">
        <f t="shared" si="408"/>
        <v>392228.80099999998</v>
      </c>
      <c r="BI183" s="106">
        <f>SUM(BI184:BI185)</f>
        <v>392228.80099999998</v>
      </c>
      <c r="BJ183" s="106">
        <f>SUM(BJ184:BJ185)</f>
        <v>0</v>
      </c>
      <c r="BK183" s="110">
        <v>1</v>
      </c>
      <c r="BL183" s="106">
        <f t="shared" si="409"/>
        <v>273700</v>
      </c>
      <c r="BM183" s="106"/>
      <c r="BN183" s="106"/>
      <c r="BO183" s="106"/>
      <c r="BP183" s="106"/>
      <c r="BQ183" s="106"/>
      <c r="BR183" s="106"/>
      <c r="BS183" s="106">
        <f>BS184+BS185</f>
        <v>273700</v>
      </c>
      <c r="BT183" s="106">
        <f>BT184+BT185</f>
        <v>273700</v>
      </c>
      <c r="BU183" s="106">
        <f>BU184+BU185</f>
        <v>0</v>
      </c>
      <c r="BV183" s="105">
        <f t="shared" si="410"/>
        <v>0</v>
      </c>
      <c r="BW183" s="106">
        <f>SUM(BW184:BW185)</f>
        <v>0</v>
      </c>
      <c r="BX183" s="106">
        <f>SUM(BX184:BX185)</f>
        <v>0</v>
      </c>
      <c r="BY183" s="105">
        <f t="shared" si="411"/>
        <v>-4953.97</v>
      </c>
      <c r="BZ183" s="106">
        <f>SUM(BZ184:BZ185)</f>
        <v>-4953.97</v>
      </c>
      <c r="CA183" s="106"/>
      <c r="CB183" s="105">
        <f t="shared" si="412"/>
        <v>0</v>
      </c>
      <c r="CC183" s="106">
        <f>SUM(CC184:CC185)</f>
        <v>0</v>
      </c>
      <c r="CD183" s="106">
        <f>SUM(CD184:CD185)</f>
        <v>0</v>
      </c>
      <c r="CE183" s="106">
        <v>1</v>
      </c>
      <c r="CF183" s="106">
        <f t="shared" si="413"/>
        <v>0</v>
      </c>
      <c r="CG183" s="111"/>
      <c r="CH183" s="105">
        <f t="shared" si="414"/>
        <v>0</v>
      </c>
      <c r="CI183" s="106">
        <f>SUM(CI184:CI185)</f>
        <v>0</v>
      </c>
      <c r="CJ183" s="106">
        <f>SUM(CJ184:CJ185)</f>
        <v>0</v>
      </c>
      <c r="CK183" s="105">
        <f t="shared" si="415"/>
        <v>248461.3</v>
      </c>
      <c r="CL183" s="106">
        <f>SUM(CL184:CL185)</f>
        <v>248461.3</v>
      </c>
      <c r="CM183" s="106"/>
      <c r="CN183" s="106">
        <f>CO183+CP183</f>
        <v>248461.3</v>
      </c>
      <c r="CO183" s="106">
        <f>248461.3</f>
        <v>248461.3</v>
      </c>
      <c r="CP183" s="106"/>
      <c r="CQ183" s="105">
        <f t="shared" si="416"/>
        <v>248461.3</v>
      </c>
      <c r="CR183" s="106">
        <f>CR184+CR185</f>
        <v>248461.3</v>
      </c>
      <c r="CS183" s="106">
        <f>SUM(CS184:CS185)</f>
        <v>0</v>
      </c>
      <c r="CT183" s="105">
        <f t="shared" si="417"/>
        <v>0</v>
      </c>
      <c r="CU183" s="106"/>
      <c r="CV183" s="106"/>
      <c r="CW183" s="105">
        <f t="shared" si="383"/>
        <v>0</v>
      </c>
      <c r="CX183" s="106">
        <f>SUM(CX184:CX185)</f>
        <v>0</v>
      </c>
      <c r="CY183" s="106">
        <f>SUM(CY184:CY185)</f>
        <v>0</v>
      </c>
      <c r="CZ183" s="105">
        <f t="shared" si="418"/>
        <v>0</v>
      </c>
      <c r="DA183" s="106">
        <f>DA184+DA185</f>
        <v>0</v>
      </c>
      <c r="DB183" s="106">
        <f>SUM(DB184:DB185)</f>
        <v>0</v>
      </c>
      <c r="DC183" s="106"/>
      <c r="DD183" s="106"/>
      <c r="DE183" s="106"/>
      <c r="DF183" s="105">
        <f t="shared" si="384"/>
        <v>0</v>
      </c>
      <c r="DG183" s="106">
        <f>SUM(DG184:DG185)</f>
        <v>0</v>
      </c>
      <c r="DH183" s="106">
        <f>SUM(DH184:DH185)</f>
        <v>0</v>
      </c>
      <c r="DI183" s="105">
        <f t="shared" si="385"/>
        <v>0</v>
      </c>
      <c r="DJ183" s="106">
        <f>SUM(DJ184:DJ185)</f>
        <v>0</v>
      </c>
      <c r="DK183" s="106">
        <f>SUM(DK184:DK185)</f>
        <v>0</v>
      </c>
      <c r="DL183" s="105">
        <f t="shared" si="386"/>
        <v>0</v>
      </c>
      <c r="DM183" s="106">
        <f>SUM(DM184:DM185)</f>
        <v>0</v>
      </c>
      <c r="DN183" s="106">
        <f>SUM(DN184:DN185)</f>
        <v>0</v>
      </c>
      <c r="DO183" s="105">
        <f t="shared" si="387"/>
        <v>0</v>
      </c>
      <c r="DP183" s="106">
        <f>SUM(DP184:DP185)</f>
        <v>0</v>
      </c>
      <c r="DQ183" s="106">
        <f>SUM(DQ184:DQ185)</f>
        <v>0</v>
      </c>
      <c r="DR183" s="105">
        <f t="shared" si="419"/>
        <v>0</v>
      </c>
      <c r="DS183" s="106">
        <f>SUM(DS184:DS185)</f>
        <v>0</v>
      </c>
      <c r="DT183" s="106">
        <f>SUM(DT184:DT185)</f>
        <v>0</v>
      </c>
      <c r="DU183" s="105">
        <f t="shared" si="420"/>
        <v>0</v>
      </c>
      <c r="DV183" s="106">
        <f>DV184+DV185</f>
        <v>0</v>
      </c>
      <c r="DW183" s="106"/>
      <c r="DX183" s="105">
        <f t="shared" si="421"/>
        <v>20250</v>
      </c>
      <c r="DY183" s="106">
        <f>DY184+DY185</f>
        <v>20250</v>
      </c>
      <c r="DZ183" s="106">
        <f>SUM(DZ184:DZ185)</f>
        <v>0</v>
      </c>
      <c r="EA183" s="106"/>
      <c r="EB183" s="106"/>
      <c r="EC183" s="106"/>
      <c r="ED183" s="106"/>
      <c r="EE183" s="106"/>
      <c r="EF183" s="106"/>
      <c r="EG183" s="106">
        <f>EH183</f>
        <v>0</v>
      </c>
      <c r="EH183" s="106">
        <f>EH184</f>
        <v>0</v>
      </c>
      <c r="EI183" s="106"/>
      <c r="EJ183" s="106"/>
      <c r="EK183" s="105">
        <f t="shared" si="422"/>
        <v>0</v>
      </c>
      <c r="EL183" s="106">
        <f>SUM(EL184:EL185)</f>
        <v>0</v>
      </c>
      <c r="EM183" s="106"/>
      <c r="EN183" s="106">
        <f>SUM(EN184:EN185)</f>
        <v>0</v>
      </c>
      <c r="EO183" s="105">
        <f t="shared" si="423"/>
        <v>0</v>
      </c>
      <c r="EP183" s="106">
        <f>SUM(EP184:EP185)</f>
        <v>0</v>
      </c>
      <c r="EQ183" s="106"/>
      <c r="ER183" s="106">
        <f>SUM(ER184:ER185)</f>
        <v>0</v>
      </c>
      <c r="ES183" s="104">
        <f t="shared" si="388"/>
        <v>0</v>
      </c>
      <c r="ET183" s="106">
        <f>ET184+ET185</f>
        <v>0</v>
      </c>
      <c r="EU183" s="106"/>
      <c r="EV183" s="106"/>
      <c r="EW183" s="105">
        <f t="shared" si="389"/>
        <v>20250</v>
      </c>
      <c r="EX183" s="106">
        <f>EX184+EX185</f>
        <v>20250</v>
      </c>
      <c r="EY183" s="106">
        <f>SUM(EY184:EY185)</f>
        <v>0</v>
      </c>
      <c r="EZ183" s="106"/>
      <c r="FA183" s="106"/>
      <c r="FB183" s="106"/>
      <c r="FC183" s="143">
        <f t="shared" si="373"/>
        <v>0</v>
      </c>
      <c r="FD183" s="104">
        <f>FD184+FD185</f>
        <v>0</v>
      </c>
      <c r="FE183" s="104"/>
      <c r="FF183" s="104"/>
      <c r="FG183" s="103">
        <f t="shared" si="424"/>
        <v>0</v>
      </c>
      <c r="FH183" s="104">
        <f>FH184+FH185</f>
        <v>0</v>
      </c>
      <c r="FI183" s="104"/>
      <c r="FJ183" s="104">
        <f>SUM(FJ184:FJ185)</f>
        <v>0</v>
      </c>
      <c r="FK183" s="103">
        <f t="shared" si="425"/>
        <v>0</v>
      </c>
      <c r="FL183" s="104">
        <f>SUM(FL184:FL185)</f>
        <v>0</v>
      </c>
      <c r="FM183" s="104"/>
      <c r="FN183" s="104">
        <f>SUM(FN184:FN185)</f>
        <v>0</v>
      </c>
      <c r="FO183" s="143">
        <f t="shared" si="374"/>
        <v>0</v>
      </c>
      <c r="FP183" s="104">
        <f>FP184</f>
        <v>0</v>
      </c>
      <c r="FQ183" s="104"/>
      <c r="FR183" s="143">
        <f t="shared" si="375"/>
        <v>0</v>
      </c>
      <c r="FS183" s="39">
        <f t="shared" si="338"/>
        <v>0</v>
      </c>
      <c r="FT183" s="485" t="e">
        <f t="shared" si="355"/>
        <v>#DIV/0!</v>
      </c>
      <c r="FU183" s="39">
        <v>0</v>
      </c>
      <c r="FV183" s="485" t="e">
        <f t="shared" si="356"/>
        <v>#DIV/0!</v>
      </c>
      <c r="FW183" s="38">
        <f t="shared" si="357"/>
        <v>0</v>
      </c>
      <c r="FX183" s="660" t="e">
        <f t="shared" si="358"/>
        <v>#DIV/0!</v>
      </c>
      <c r="FY183" s="39">
        <f t="shared" si="359"/>
        <v>0</v>
      </c>
      <c r="FZ183" s="660" t="e">
        <f t="shared" si="360"/>
        <v>#DIV/0!</v>
      </c>
      <c r="GA183" s="39">
        <f t="shared" si="361"/>
        <v>0</v>
      </c>
      <c r="GB183" s="485" t="e">
        <f t="shared" si="362"/>
        <v>#DIV/0!</v>
      </c>
      <c r="GC183" s="39">
        <v>0</v>
      </c>
      <c r="GD183" s="485" t="e">
        <f t="shared" si="376"/>
        <v>#DIV/0!</v>
      </c>
      <c r="GE183" s="82"/>
      <c r="GF183" s="498"/>
      <c r="GG183" s="82">
        <f t="shared" si="363"/>
        <v>0</v>
      </c>
      <c r="GH183" s="498" t="e">
        <f t="shared" si="364"/>
        <v>#DIV/0!</v>
      </c>
      <c r="GI183" s="90">
        <f t="shared" si="365"/>
        <v>0</v>
      </c>
      <c r="GJ183" s="485" t="e">
        <f t="shared" si="366"/>
        <v>#DIV/0!</v>
      </c>
      <c r="GK183" s="90">
        <f t="shared" si="367"/>
        <v>0</v>
      </c>
      <c r="GL183" s="485" t="e">
        <f t="shared" si="368"/>
        <v>#DIV/0!</v>
      </c>
      <c r="GM183" s="90">
        <f t="shared" si="369"/>
        <v>0</v>
      </c>
      <c r="GN183" s="485" t="e">
        <f t="shared" si="370"/>
        <v>#DIV/0!</v>
      </c>
      <c r="GO183" s="90">
        <f t="shared" si="371"/>
        <v>0</v>
      </c>
      <c r="GP183" s="485" t="e">
        <f t="shared" si="372"/>
        <v>#DIV/0!</v>
      </c>
      <c r="GQ183" s="144"/>
      <c r="GR183" s="144"/>
      <c r="GS183" s="144"/>
      <c r="GT183" s="144"/>
      <c r="GU183" s="144">
        <f t="shared" si="377"/>
        <v>0</v>
      </c>
      <c r="GV183" s="106">
        <f>GV184</f>
        <v>0</v>
      </c>
      <c r="GW183" s="106"/>
      <c r="GX183" s="106"/>
      <c r="GY183" s="106"/>
      <c r="GZ183" s="106"/>
      <c r="HA183" s="106"/>
      <c r="HB183" s="106"/>
      <c r="HC183" s="106"/>
      <c r="HD183" s="106"/>
      <c r="HE183" s="106"/>
      <c r="HF183" s="106"/>
      <c r="HG183" s="144">
        <f t="shared" si="378"/>
        <v>0</v>
      </c>
      <c r="HH183" s="106">
        <f>HP183-GV183</f>
        <v>0</v>
      </c>
      <c r="HI183" s="106"/>
      <c r="HJ183" s="106"/>
      <c r="HK183" s="106">
        <f>HL183</f>
        <v>0</v>
      </c>
      <c r="HL183" s="106">
        <f>IF183-GZ183</f>
        <v>0</v>
      </c>
      <c r="HM183" s="106"/>
      <c r="HN183" s="106"/>
      <c r="HO183" s="144">
        <f t="shared" si="379"/>
        <v>0</v>
      </c>
      <c r="HP183" s="106">
        <f>HP184</f>
        <v>0</v>
      </c>
      <c r="HQ183" s="106"/>
      <c r="HR183" s="106"/>
      <c r="HS183" s="106">
        <f>HT183</f>
        <v>0</v>
      </c>
      <c r="HT183" s="106">
        <f>HT184</f>
        <v>0</v>
      </c>
      <c r="HU183" s="106"/>
      <c r="HV183" s="106"/>
      <c r="HW183" s="106">
        <f>HX183</f>
        <v>0</v>
      </c>
      <c r="HX183" s="106">
        <f>IR183-HL183</f>
        <v>0</v>
      </c>
      <c r="HY183" s="106"/>
      <c r="HZ183" s="106"/>
      <c r="IA183" s="106">
        <f>IB183</f>
        <v>0</v>
      </c>
      <c r="IB183" s="106">
        <f>IB184</f>
        <v>0</v>
      </c>
      <c r="IC183" s="106"/>
      <c r="ID183" s="106"/>
      <c r="IE183" s="199" t="s">
        <v>288</v>
      </c>
      <c r="IF183" s="173"/>
      <c r="IG183" s="173"/>
      <c r="IH183" s="173"/>
    </row>
    <row r="184" spans="2:249" s="171" customFormat="1" ht="24" hidden="1" customHeight="1" x14ac:dyDescent="0.25">
      <c r="B184" s="160"/>
      <c r="C184" s="161" t="s">
        <v>146</v>
      </c>
      <c r="D184" s="162"/>
      <c r="E184" s="163">
        <f t="shared" si="391"/>
        <v>0</v>
      </c>
      <c r="F184" s="163"/>
      <c r="G184" s="163"/>
      <c r="H184" s="163">
        <f t="shared" si="392"/>
        <v>0</v>
      </c>
      <c r="I184" s="163">
        <f>L184-F184</f>
        <v>0</v>
      </c>
      <c r="J184" s="163"/>
      <c r="K184" s="163">
        <f t="shared" si="393"/>
        <v>0</v>
      </c>
      <c r="L184" s="163"/>
      <c r="M184" s="163"/>
      <c r="N184" s="163">
        <f t="shared" si="394"/>
        <v>0</v>
      </c>
      <c r="O184" s="163">
        <f>R184-L184</f>
        <v>0</v>
      </c>
      <c r="P184" s="163"/>
      <c r="Q184" s="164">
        <f t="shared" si="395"/>
        <v>0</v>
      </c>
      <c r="R184" s="164"/>
      <c r="S184" s="164"/>
      <c r="T184" s="164">
        <f t="shared" si="396"/>
        <v>0</v>
      </c>
      <c r="U184" s="164"/>
      <c r="V184" s="164"/>
      <c r="W184" s="164">
        <f t="shared" si="397"/>
        <v>0</v>
      </c>
      <c r="X184" s="164">
        <f>AA184-U184</f>
        <v>0</v>
      </c>
      <c r="Y184" s="164"/>
      <c r="Z184" s="164">
        <f t="shared" si="398"/>
        <v>0</v>
      </c>
      <c r="AA184" s="164"/>
      <c r="AB184" s="164"/>
      <c r="AC184" s="164">
        <f t="shared" si="399"/>
        <v>35965.071989999997</v>
      </c>
      <c r="AD184" s="164">
        <f>AG184-AA184</f>
        <v>35965.071989999997</v>
      </c>
      <c r="AE184" s="164"/>
      <c r="AF184" s="164">
        <f t="shared" si="400"/>
        <v>35965.071989999997</v>
      </c>
      <c r="AG184" s="164">
        <v>35965.071989999997</v>
      </c>
      <c r="AH184" s="164"/>
      <c r="AI184" s="165">
        <f t="shared" si="401"/>
        <v>0</v>
      </c>
      <c r="AJ184" s="164"/>
      <c r="AK184" s="165">
        <f t="shared" si="402"/>
        <v>0</v>
      </c>
      <c r="AL184" s="165">
        <f t="shared" si="402"/>
        <v>0</v>
      </c>
      <c r="AM184" s="164"/>
      <c r="AN184" s="164"/>
      <c r="AO184" s="166">
        <v>1</v>
      </c>
      <c r="AP184" s="164"/>
      <c r="AQ184" s="164"/>
      <c r="AR184" s="164">
        <f t="shared" si="426"/>
        <v>35965.071989999997</v>
      </c>
      <c r="AS184" s="164">
        <f t="shared" si="403"/>
        <v>205500</v>
      </c>
      <c r="AT184" s="164">
        <v>205500</v>
      </c>
      <c r="AU184" s="164">
        <v>0</v>
      </c>
      <c r="AV184" s="164">
        <f t="shared" si="404"/>
        <v>68200</v>
      </c>
      <c r="AW184" s="164">
        <v>68200</v>
      </c>
      <c r="AX184" s="164"/>
      <c r="AY184" s="164">
        <f t="shared" si="405"/>
        <v>273700</v>
      </c>
      <c r="AZ184" s="164">
        <f>AT184+AW184</f>
        <v>273700</v>
      </c>
      <c r="BA184" s="164"/>
      <c r="BB184" s="164">
        <f t="shared" si="406"/>
        <v>0</v>
      </c>
      <c r="BC184" s="164"/>
      <c r="BD184" s="164"/>
      <c r="BE184" s="164">
        <f t="shared" si="407"/>
        <v>0</v>
      </c>
      <c r="BF184" s="164">
        <f>BW184-BC184</f>
        <v>0</v>
      </c>
      <c r="BG184" s="164"/>
      <c r="BH184" s="164">
        <f t="shared" si="408"/>
        <v>387274.83100000001</v>
      </c>
      <c r="BI184" s="164">
        <v>387274.83100000001</v>
      </c>
      <c r="BJ184" s="164"/>
      <c r="BK184" s="167">
        <v>1</v>
      </c>
      <c r="BL184" s="168">
        <f t="shared" si="409"/>
        <v>273700</v>
      </c>
      <c r="BM184" s="168"/>
      <c r="BN184" s="168"/>
      <c r="BO184" s="168"/>
      <c r="BP184" s="168"/>
      <c r="BQ184" s="168"/>
      <c r="BR184" s="168"/>
      <c r="BS184" s="168">
        <f>BT184+BU184</f>
        <v>273700</v>
      </c>
      <c r="BT184" s="168">
        <f>AZ184-BN184-BQ184</f>
        <v>273700</v>
      </c>
      <c r="BU184" s="168"/>
      <c r="BV184" s="164">
        <f t="shared" si="410"/>
        <v>0</v>
      </c>
      <c r="BW184" s="164"/>
      <c r="BX184" s="164"/>
      <c r="BY184" s="164">
        <f t="shared" si="411"/>
        <v>0</v>
      </c>
      <c r="BZ184" s="164"/>
      <c r="CA184" s="164"/>
      <c r="CB184" s="164">
        <f t="shared" si="412"/>
        <v>0</v>
      </c>
      <c r="CC184" s="164">
        <v>0</v>
      </c>
      <c r="CD184" s="164"/>
      <c r="CE184" s="168">
        <v>1</v>
      </c>
      <c r="CF184" s="168">
        <f t="shared" si="413"/>
        <v>0</v>
      </c>
      <c r="CG184" s="164"/>
      <c r="CH184" s="164">
        <f t="shared" si="414"/>
        <v>0</v>
      </c>
      <c r="CI184" s="164">
        <v>0</v>
      </c>
      <c r="CJ184" s="164">
        <v>0</v>
      </c>
      <c r="CK184" s="164">
        <f t="shared" si="415"/>
        <v>244084.55559999999</v>
      </c>
      <c r="CL184" s="164">
        <f>CR184-CI184</f>
        <v>244084.55559999999</v>
      </c>
      <c r="CM184" s="164"/>
      <c r="CN184" s="164"/>
      <c r="CO184" s="164"/>
      <c r="CP184" s="164"/>
      <c r="CQ184" s="164">
        <f t="shared" si="416"/>
        <v>244084.55559999999</v>
      </c>
      <c r="CR184" s="164">
        <v>244084.55559999999</v>
      </c>
      <c r="CS184" s="164">
        <v>0</v>
      </c>
      <c r="CT184" s="164">
        <f t="shared" si="417"/>
        <v>0</v>
      </c>
      <c r="CU184" s="164"/>
      <c r="CV184" s="164"/>
      <c r="CW184" s="164">
        <f t="shared" si="383"/>
        <v>0</v>
      </c>
      <c r="CX184" s="164">
        <v>0</v>
      </c>
      <c r="CY184" s="164"/>
      <c r="CZ184" s="164">
        <f t="shared" si="418"/>
        <v>0</v>
      </c>
      <c r="DA184" s="164">
        <v>0</v>
      </c>
      <c r="DB184" s="164">
        <v>0</v>
      </c>
      <c r="DC184" s="164"/>
      <c r="DD184" s="164"/>
      <c r="DE184" s="164"/>
      <c r="DF184" s="164">
        <f t="shared" si="384"/>
        <v>0</v>
      </c>
      <c r="DG184" s="164">
        <v>0</v>
      </c>
      <c r="DH184" s="164"/>
      <c r="DI184" s="164">
        <f t="shared" si="385"/>
        <v>0</v>
      </c>
      <c r="DJ184" s="164">
        <v>0</v>
      </c>
      <c r="DK184" s="164"/>
      <c r="DL184" s="164">
        <f t="shared" si="386"/>
        <v>0</v>
      </c>
      <c r="DM184" s="164">
        <v>0</v>
      </c>
      <c r="DN184" s="164"/>
      <c r="DO184" s="164">
        <f t="shared" si="387"/>
        <v>0</v>
      </c>
      <c r="DP184" s="164">
        <v>0</v>
      </c>
      <c r="DQ184" s="164"/>
      <c r="DR184" s="164">
        <f t="shared" si="419"/>
        <v>0</v>
      </c>
      <c r="DS184" s="164">
        <v>0</v>
      </c>
      <c r="DT184" s="164"/>
      <c r="DU184" s="164">
        <f t="shared" si="420"/>
        <v>0</v>
      </c>
      <c r="DV184" s="164">
        <v>0</v>
      </c>
      <c r="DW184" s="164"/>
      <c r="DX184" s="164">
        <f t="shared" si="421"/>
        <v>20250</v>
      </c>
      <c r="DY184" s="164">
        <v>20250</v>
      </c>
      <c r="DZ184" s="164">
        <v>0</v>
      </c>
      <c r="EA184" s="164"/>
      <c r="EB184" s="164"/>
      <c r="EC184" s="164"/>
      <c r="ED184" s="164"/>
      <c r="EE184" s="164"/>
      <c r="EF184" s="164"/>
      <c r="EG184" s="164">
        <f>EH184</f>
        <v>0</v>
      </c>
      <c r="EH184" s="164">
        <v>0</v>
      </c>
      <c r="EI184" s="164"/>
      <c r="EJ184" s="164"/>
      <c r="EK184" s="164">
        <f t="shared" si="422"/>
        <v>0</v>
      </c>
      <c r="EL184" s="164">
        <v>0</v>
      </c>
      <c r="EM184" s="164"/>
      <c r="EN184" s="164"/>
      <c r="EO184" s="164">
        <f t="shared" si="423"/>
        <v>0</v>
      </c>
      <c r="EP184" s="164">
        <v>0</v>
      </c>
      <c r="EQ184" s="164"/>
      <c r="ER184" s="164"/>
      <c r="ES184" s="163">
        <f t="shared" si="388"/>
        <v>0</v>
      </c>
      <c r="ET184" s="164">
        <f>ED184</f>
        <v>0</v>
      </c>
      <c r="EU184" s="164"/>
      <c r="EV184" s="164"/>
      <c r="EW184" s="164">
        <f t="shared" si="389"/>
        <v>20250</v>
      </c>
      <c r="EX184" s="164">
        <v>20250</v>
      </c>
      <c r="EY184" s="164">
        <v>0</v>
      </c>
      <c r="EZ184" s="164"/>
      <c r="FA184" s="164"/>
      <c r="FB184" s="164"/>
      <c r="FC184" s="143">
        <f t="shared" si="373"/>
        <v>0</v>
      </c>
      <c r="FD184" s="163">
        <v>0</v>
      </c>
      <c r="FE184" s="163"/>
      <c r="FF184" s="163"/>
      <c r="FG184" s="163">
        <f t="shared" si="424"/>
        <v>0</v>
      </c>
      <c r="FH184" s="163">
        <f>FP184-FD184</f>
        <v>0</v>
      </c>
      <c r="FI184" s="163"/>
      <c r="FJ184" s="163"/>
      <c r="FK184" s="163">
        <f t="shared" si="425"/>
        <v>0</v>
      </c>
      <c r="FL184" s="163">
        <v>0</v>
      </c>
      <c r="FM184" s="163"/>
      <c r="FN184" s="163"/>
      <c r="FO184" s="143">
        <f t="shared" si="374"/>
        <v>0</v>
      </c>
      <c r="FP184" s="163">
        <v>0</v>
      </c>
      <c r="FQ184" s="163"/>
      <c r="FR184" s="143">
        <f t="shared" si="375"/>
        <v>0</v>
      </c>
      <c r="FS184" s="39">
        <f t="shared" si="338"/>
        <v>0</v>
      </c>
      <c r="FT184" s="485" t="e">
        <f t="shared" si="355"/>
        <v>#DIV/0!</v>
      </c>
      <c r="FU184" s="39">
        <v>0</v>
      </c>
      <c r="FV184" s="485" t="e">
        <f t="shared" si="356"/>
        <v>#DIV/0!</v>
      </c>
      <c r="FW184" s="38">
        <f t="shared" si="357"/>
        <v>0</v>
      </c>
      <c r="FX184" s="660" t="e">
        <f t="shared" si="358"/>
        <v>#DIV/0!</v>
      </c>
      <c r="FY184" s="39">
        <f t="shared" si="359"/>
        <v>0</v>
      </c>
      <c r="FZ184" s="660" t="e">
        <f t="shared" si="360"/>
        <v>#DIV/0!</v>
      </c>
      <c r="GA184" s="39">
        <f t="shared" si="361"/>
        <v>0</v>
      </c>
      <c r="GB184" s="485" t="e">
        <f t="shared" si="362"/>
        <v>#DIV/0!</v>
      </c>
      <c r="GC184" s="39">
        <v>0</v>
      </c>
      <c r="GD184" s="485" t="e">
        <f t="shared" si="376"/>
        <v>#DIV/0!</v>
      </c>
      <c r="GE184" s="82"/>
      <c r="GF184" s="498"/>
      <c r="GG184" s="82">
        <f t="shared" si="363"/>
        <v>0</v>
      </c>
      <c r="GH184" s="498" t="e">
        <f t="shared" si="364"/>
        <v>#DIV/0!</v>
      </c>
      <c r="GI184" s="90">
        <f t="shared" si="365"/>
        <v>0</v>
      </c>
      <c r="GJ184" s="485" t="e">
        <f t="shared" si="366"/>
        <v>#DIV/0!</v>
      </c>
      <c r="GK184" s="90">
        <f t="shared" si="367"/>
        <v>0</v>
      </c>
      <c r="GL184" s="485" t="e">
        <f t="shared" si="368"/>
        <v>#DIV/0!</v>
      </c>
      <c r="GM184" s="90">
        <f t="shared" si="369"/>
        <v>0</v>
      </c>
      <c r="GN184" s="485" t="e">
        <f t="shared" si="370"/>
        <v>#DIV/0!</v>
      </c>
      <c r="GO184" s="90">
        <f t="shared" si="371"/>
        <v>0</v>
      </c>
      <c r="GP184" s="485" t="e">
        <f t="shared" si="372"/>
        <v>#DIV/0!</v>
      </c>
      <c r="GQ184" s="144"/>
      <c r="GR184" s="144"/>
      <c r="GS184" s="144"/>
      <c r="GT184" s="144"/>
      <c r="GU184" s="144">
        <f t="shared" si="377"/>
        <v>0</v>
      </c>
      <c r="GV184" s="164">
        <v>0</v>
      </c>
      <c r="GW184" s="164"/>
      <c r="GX184" s="164"/>
      <c r="GY184" s="164"/>
      <c r="GZ184" s="164"/>
      <c r="HA184" s="164"/>
      <c r="HB184" s="164"/>
      <c r="HC184" s="164"/>
      <c r="HD184" s="164"/>
      <c r="HE184" s="164"/>
      <c r="HF184" s="164"/>
      <c r="HG184" s="144">
        <f t="shared" si="378"/>
        <v>0</v>
      </c>
      <c r="HH184" s="164">
        <f>HP184-GV184</f>
        <v>0</v>
      </c>
      <c r="HI184" s="164"/>
      <c r="HJ184" s="164"/>
      <c r="HK184" s="164"/>
      <c r="HL184" s="164"/>
      <c r="HM184" s="164"/>
      <c r="HN184" s="164"/>
      <c r="HO184" s="144">
        <f t="shared" si="379"/>
        <v>0</v>
      </c>
      <c r="HP184" s="164">
        <v>0</v>
      </c>
      <c r="HQ184" s="164"/>
      <c r="HR184" s="164"/>
      <c r="HS184" s="164">
        <f>HT184</f>
        <v>0</v>
      </c>
      <c r="HT184" s="164">
        <v>0</v>
      </c>
      <c r="HU184" s="164"/>
      <c r="HV184" s="164"/>
      <c r="HW184" s="164"/>
      <c r="HX184" s="164"/>
      <c r="HY184" s="164"/>
      <c r="HZ184" s="164"/>
      <c r="IA184" s="164">
        <f>IB184</f>
        <v>0</v>
      </c>
      <c r="IB184" s="164">
        <v>0</v>
      </c>
      <c r="IC184" s="164"/>
      <c r="ID184" s="164"/>
      <c r="IE184" s="200"/>
      <c r="IF184" s="170"/>
      <c r="IG184" s="170"/>
      <c r="IH184" s="170"/>
    </row>
    <row r="185" spans="2:249" s="171" customFormat="1" ht="35.25" hidden="1" customHeight="1" x14ac:dyDescent="0.25">
      <c r="B185" s="160"/>
      <c r="C185" s="161" t="s">
        <v>172</v>
      </c>
      <c r="D185" s="162" t="s">
        <v>149</v>
      </c>
      <c r="E185" s="163">
        <f t="shared" si="391"/>
        <v>0</v>
      </c>
      <c r="F185" s="163"/>
      <c r="G185" s="163"/>
      <c r="H185" s="163">
        <f t="shared" si="392"/>
        <v>0</v>
      </c>
      <c r="I185" s="163">
        <f>L185-F185</f>
        <v>0</v>
      </c>
      <c r="J185" s="163"/>
      <c r="K185" s="163">
        <f t="shared" si="393"/>
        <v>0</v>
      </c>
      <c r="L185" s="163"/>
      <c r="M185" s="163"/>
      <c r="N185" s="163">
        <f t="shared" si="394"/>
        <v>0</v>
      </c>
      <c r="O185" s="163">
        <f>R185-L185</f>
        <v>0</v>
      </c>
      <c r="P185" s="163"/>
      <c r="Q185" s="164">
        <f t="shared" si="395"/>
        <v>0</v>
      </c>
      <c r="R185" s="164"/>
      <c r="S185" s="164"/>
      <c r="T185" s="164">
        <f t="shared" si="396"/>
        <v>0</v>
      </c>
      <c r="U185" s="164"/>
      <c r="V185" s="164"/>
      <c r="W185" s="164">
        <f t="shared" si="397"/>
        <v>0</v>
      </c>
      <c r="X185" s="164">
        <f>AA185-U185</f>
        <v>0</v>
      </c>
      <c r="Y185" s="164"/>
      <c r="Z185" s="164">
        <f t="shared" si="398"/>
        <v>0</v>
      </c>
      <c r="AA185" s="164"/>
      <c r="AB185" s="164"/>
      <c r="AC185" s="164">
        <f t="shared" si="399"/>
        <v>0</v>
      </c>
      <c r="AD185" s="164"/>
      <c r="AE185" s="164"/>
      <c r="AF185" s="164">
        <f t="shared" si="400"/>
        <v>0</v>
      </c>
      <c r="AG185" s="164"/>
      <c r="AH185" s="164"/>
      <c r="AI185" s="165">
        <f t="shared" si="401"/>
        <v>0</v>
      </c>
      <c r="AJ185" s="164"/>
      <c r="AK185" s="165">
        <f t="shared" si="402"/>
        <v>0</v>
      </c>
      <c r="AL185" s="165">
        <f t="shared" si="402"/>
        <v>0</v>
      </c>
      <c r="AM185" s="164"/>
      <c r="AN185" s="164"/>
      <c r="AO185" s="166">
        <v>1</v>
      </c>
      <c r="AP185" s="164"/>
      <c r="AQ185" s="164"/>
      <c r="AR185" s="164">
        <f t="shared" si="426"/>
        <v>0</v>
      </c>
      <c r="AS185" s="164">
        <f t="shared" si="403"/>
        <v>0</v>
      </c>
      <c r="AT185" s="164"/>
      <c r="AU185" s="164"/>
      <c r="AV185" s="164">
        <f t="shared" si="404"/>
        <v>0</v>
      </c>
      <c r="AW185" s="164">
        <f>AZ185-AT185</f>
        <v>0</v>
      </c>
      <c r="AX185" s="164"/>
      <c r="AY185" s="164">
        <f t="shared" si="405"/>
        <v>0</v>
      </c>
      <c r="AZ185" s="164"/>
      <c r="BA185" s="164"/>
      <c r="BB185" s="164">
        <f t="shared" si="406"/>
        <v>0</v>
      </c>
      <c r="BC185" s="164"/>
      <c r="BD185" s="164"/>
      <c r="BE185" s="164">
        <f t="shared" si="407"/>
        <v>0</v>
      </c>
      <c r="BF185" s="164">
        <f>BW185-BC185</f>
        <v>0</v>
      </c>
      <c r="BG185" s="164"/>
      <c r="BH185" s="164">
        <f t="shared" si="408"/>
        <v>4953.97</v>
      </c>
      <c r="BI185" s="164">
        <v>4953.97</v>
      </c>
      <c r="BJ185" s="164"/>
      <c r="BK185" s="167">
        <v>1</v>
      </c>
      <c r="BL185" s="168">
        <f t="shared" si="409"/>
        <v>0</v>
      </c>
      <c r="BM185" s="168"/>
      <c r="BN185" s="168"/>
      <c r="BO185" s="168"/>
      <c r="BP185" s="168"/>
      <c r="BQ185" s="168"/>
      <c r="BR185" s="168"/>
      <c r="BS185" s="168"/>
      <c r="BT185" s="168"/>
      <c r="BU185" s="168"/>
      <c r="BV185" s="164">
        <f t="shared" si="410"/>
        <v>0</v>
      </c>
      <c r="BW185" s="164"/>
      <c r="BX185" s="164"/>
      <c r="BY185" s="164">
        <f t="shared" si="411"/>
        <v>-4953.97</v>
      </c>
      <c r="BZ185" s="164">
        <f>CC185-BI185</f>
        <v>-4953.97</v>
      </c>
      <c r="CA185" s="164"/>
      <c r="CB185" s="164">
        <f t="shared" si="412"/>
        <v>0</v>
      </c>
      <c r="CC185" s="164">
        <v>0</v>
      </c>
      <c r="CD185" s="164"/>
      <c r="CE185" s="168">
        <v>1</v>
      </c>
      <c r="CF185" s="168">
        <f t="shared" si="413"/>
        <v>0</v>
      </c>
      <c r="CG185" s="164"/>
      <c r="CH185" s="164">
        <f t="shared" si="414"/>
        <v>0</v>
      </c>
      <c r="CI185" s="164"/>
      <c r="CJ185" s="164"/>
      <c r="CK185" s="164">
        <f t="shared" si="415"/>
        <v>4376.7443999999996</v>
      </c>
      <c r="CL185" s="164">
        <f>CR185-CI185</f>
        <v>4376.7443999999996</v>
      </c>
      <c r="CM185" s="164"/>
      <c r="CN185" s="164"/>
      <c r="CO185" s="164"/>
      <c r="CP185" s="164"/>
      <c r="CQ185" s="164">
        <f t="shared" si="416"/>
        <v>4376.7443999999996</v>
      </c>
      <c r="CR185" s="164">
        <v>4376.7443999999996</v>
      </c>
      <c r="CS185" s="164"/>
      <c r="CT185" s="164">
        <f t="shared" si="417"/>
        <v>0</v>
      </c>
      <c r="CU185" s="164"/>
      <c r="CV185" s="164"/>
      <c r="CW185" s="164">
        <f t="shared" si="383"/>
        <v>0</v>
      </c>
      <c r="CX185" s="164">
        <v>0</v>
      </c>
      <c r="CY185" s="164"/>
      <c r="CZ185" s="164">
        <f t="shared" si="418"/>
        <v>0</v>
      </c>
      <c r="DA185" s="164">
        <v>0</v>
      </c>
      <c r="DB185" s="164"/>
      <c r="DC185" s="164"/>
      <c r="DD185" s="164"/>
      <c r="DE185" s="164"/>
      <c r="DF185" s="164">
        <f t="shared" si="384"/>
        <v>0</v>
      </c>
      <c r="DG185" s="164">
        <v>0</v>
      </c>
      <c r="DH185" s="164"/>
      <c r="DI185" s="164">
        <f t="shared" si="385"/>
        <v>0</v>
      </c>
      <c r="DJ185" s="164">
        <v>0</v>
      </c>
      <c r="DK185" s="164"/>
      <c r="DL185" s="164">
        <f t="shared" si="386"/>
        <v>0</v>
      </c>
      <c r="DM185" s="164">
        <v>0</v>
      </c>
      <c r="DN185" s="164"/>
      <c r="DO185" s="164">
        <f t="shared" si="387"/>
        <v>0</v>
      </c>
      <c r="DP185" s="164">
        <v>0</v>
      </c>
      <c r="DQ185" s="164"/>
      <c r="DR185" s="164">
        <f t="shared" si="419"/>
        <v>0</v>
      </c>
      <c r="DS185" s="164">
        <v>0</v>
      </c>
      <c r="DT185" s="164"/>
      <c r="DU185" s="164">
        <f t="shared" si="420"/>
        <v>0</v>
      </c>
      <c r="DV185" s="164">
        <v>0</v>
      </c>
      <c r="DW185" s="164"/>
      <c r="DX185" s="164">
        <f t="shared" si="421"/>
        <v>0</v>
      </c>
      <c r="DY185" s="164">
        <v>0</v>
      </c>
      <c r="DZ185" s="164"/>
      <c r="EA185" s="164"/>
      <c r="EB185" s="164"/>
      <c r="EC185" s="164"/>
      <c r="ED185" s="164"/>
      <c r="EE185" s="164"/>
      <c r="EF185" s="164"/>
      <c r="EG185" s="164">
        <f>EH185</f>
        <v>0</v>
      </c>
      <c r="EH185" s="164">
        <v>0</v>
      </c>
      <c r="EI185" s="164"/>
      <c r="EJ185" s="164"/>
      <c r="EK185" s="164">
        <f t="shared" si="422"/>
        <v>0</v>
      </c>
      <c r="EL185" s="164">
        <v>0</v>
      </c>
      <c r="EM185" s="164"/>
      <c r="EN185" s="164"/>
      <c r="EO185" s="164">
        <f t="shared" si="423"/>
        <v>0</v>
      </c>
      <c r="EP185" s="164">
        <v>0</v>
      </c>
      <c r="EQ185" s="164"/>
      <c r="ER185" s="164"/>
      <c r="ES185" s="163"/>
      <c r="ET185" s="164"/>
      <c r="EU185" s="164"/>
      <c r="EV185" s="164"/>
      <c r="EW185" s="164">
        <f t="shared" si="389"/>
        <v>0</v>
      </c>
      <c r="EX185" s="164">
        <v>0</v>
      </c>
      <c r="EY185" s="164"/>
      <c r="EZ185" s="164"/>
      <c r="FA185" s="164"/>
      <c r="FB185" s="164"/>
      <c r="FC185" s="143">
        <f t="shared" si="373"/>
        <v>0</v>
      </c>
      <c r="FD185" s="163">
        <v>0</v>
      </c>
      <c r="FE185" s="163"/>
      <c r="FF185" s="163"/>
      <c r="FG185" s="163">
        <f t="shared" si="424"/>
        <v>0</v>
      </c>
      <c r="FH185" s="163">
        <f>FP185-FD185</f>
        <v>0</v>
      </c>
      <c r="FI185" s="163"/>
      <c r="FJ185" s="163"/>
      <c r="FK185" s="163">
        <f t="shared" si="425"/>
        <v>0</v>
      </c>
      <c r="FL185" s="163">
        <v>0</v>
      </c>
      <c r="FM185" s="163"/>
      <c r="FN185" s="163"/>
      <c r="FO185" s="143">
        <f t="shared" si="374"/>
        <v>0</v>
      </c>
      <c r="FP185" s="163">
        <v>0</v>
      </c>
      <c r="FQ185" s="163"/>
      <c r="FR185" s="143">
        <f t="shared" si="375"/>
        <v>0</v>
      </c>
      <c r="FS185" s="39">
        <f t="shared" si="338"/>
        <v>0</v>
      </c>
      <c r="FT185" s="485" t="e">
        <f t="shared" si="355"/>
        <v>#DIV/0!</v>
      </c>
      <c r="FU185" s="39">
        <v>0</v>
      </c>
      <c r="FV185" s="485" t="e">
        <f t="shared" si="356"/>
        <v>#DIV/0!</v>
      </c>
      <c r="FW185" s="38">
        <f t="shared" si="357"/>
        <v>0</v>
      </c>
      <c r="FX185" s="660" t="e">
        <f t="shared" si="358"/>
        <v>#DIV/0!</v>
      </c>
      <c r="FY185" s="39">
        <f t="shared" si="359"/>
        <v>0</v>
      </c>
      <c r="FZ185" s="660" t="e">
        <f t="shared" si="360"/>
        <v>#DIV/0!</v>
      </c>
      <c r="GA185" s="39">
        <f t="shared" si="361"/>
        <v>0</v>
      </c>
      <c r="GB185" s="485" t="e">
        <f t="shared" si="362"/>
        <v>#DIV/0!</v>
      </c>
      <c r="GC185" s="39">
        <v>0</v>
      </c>
      <c r="GD185" s="485" t="e">
        <f t="shared" si="376"/>
        <v>#DIV/0!</v>
      </c>
      <c r="GE185" s="82"/>
      <c r="GF185" s="498"/>
      <c r="GG185" s="82">
        <f t="shared" si="363"/>
        <v>0</v>
      </c>
      <c r="GH185" s="498" t="e">
        <f t="shared" si="364"/>
        <v>#DIV/0!</v>
      </c>
      <c r="GI185" s="90">
        <f t="shared" si="365"/>
        <v>0</v>
      </c>
      <c r="GJ185" s="485" t="e">
        <f t="shared" si="366"/>
        <v>#DIV/0!</v>
      </c>
      <c r="GK185" s="90">
        <f t="shared" si="367"/>
        <v>0</v>
      </c>
      <c r="GL185" s="485" t="e">
        <f t="shared" si="368"/>
        <v>#DIV/0!</v>
      </c>
      <c r="GM185" s="90">
        <f t="shared" si="369"/>
        <v>0</v>
      </c>
      <c r="GN185" s="485" t="e">
        <f t="shared" si="370"/>
        <v>#DIV/0!</v>
      </c>
      <c r="GO185" s="90">
        <f t="shared" si="371"/>
        <v>0</v>
      </c>
      <c r="GP185" s="485" t="e">
        <f t="shared" si="372"/>
        <v>#DIV/0!</v>
      </c>
      <c r="GQ185" s="144"/>
      <c r="GR185" s="144"/>
      <c r="GS185" s="144"/>
      <c r="GT185" s="144"/>
      <c r="GU185" s="144">
        <f t="shared" si="377"/>
        <v>0</v>
      </c>
      <c r="GV185" s="164"/>
      <c r="GW185" s="164"/>
      <c r="GX185" s="164"/>
      <c r="GY185" s="164"/>
      <c r="GZ185" s="164"/>
      <c r="HA185" s="164"/>
      <c r="HB185" s="164"/>
      <c r="HC185" s="164"/>
      <c r="HD185" s="164"/>
      <c r="HE185" s="164"/>
      <c r="HF185" s="164"/>
      <c r="HG185" s="144">
        <f t="shared" si="378"/>
        <v>0</v>
      </c>
      <c r="HH185" s="164"/>
      <c r="HI185" s="164"/>
      <c r="HJ185" s="164"/>
      <c r="HK185" s="164"/>
      <c r="HL185" s="164"/>
      <c r="HM185" s="164"/>
      <c r="HN185" s="164"/>
      <c r="HO185" s="144">
        <f t="shared" si="379"/>
        <v>0</v>
      </c>
      <c r="HP185" s="164"/>
      <c r="HQ185" s="164"/>
      <c r="HR185" s="164"/>
      <c r="HS185" s="164"/>
      <c r="HT185" s="164"/>
      <c r="HU185" s="164"/>
      <c r="HV185" s="164"/>
      <c r="HW185" s="164"/>
      <c r="HX185" s="164"/>
      <c r="HY185" s="164"/>
      <c r="HZ185" s="164"/>
      <c r="IA185" s="164"/>
      <c r="IB185" s="164"/>
      <c r="IC185" s="164"/>
      <c r="ID185" s="164"/>
      <c r="IE185" s="200"/>
      <c r="IF185" s="170"/>
      <c r="IG185" s="170"/>
      <c r="IH185" s="170"/>
    </row>
    <row r="186" spans="2:249" s="171" customFormat="1" ht="86.25" hidden="1" customHeight="1" x14ac:dyDescent="0.25">
      <c r="B186" s="131" t="s">
        <v>79</v>
      </c>
      <c r="C186" s="132" t="s">
        <v>289</v>
      </c>
      <c r="D186" s="162"/>
      <c r="E186" s="163"/>
      <c r="F186" s="163"/>
      <c r="G186" s="163"/>
      <c r="H186" s="163"/>
      <c r="I186" s="163"/>
      <c r="J186" s="163"/>
      <c r="K186" s="163"/>
      <c r="L186" s="163"/>
      <c r="M186" s="163"/>
      <c r="N186" s="163"/>
      <c r="O186" s="163"/>
      <c r="P186" s="163"/>
      <c r="Q186" s="164"/>
      <c r="R186" s="164"/>
      <c r="S186" s="164"/>
      <c r="T186" s="164"/>
      <c r="U186" s="164"/>
      <c r="V186" s="164"/>
      <c r="W186" s="164"/>
      <c r="X186" s="164"/>
      <c r="Y186" s="164"/>
      <c r="Z186" s="164"/>
      <c r="AA186" s="164"/>
      <c r="AB186" s="164"/>
      <c r="AC186" s="164"/>
      <c r="AD186" s="164"/>
      <c r="AE186" s="164"/>
      <c r="AF186" s="164"/>
      <c r="AG186" s="164"/>
      <c r="AH186" s="164"/>
      <c r="AI186" s="165"/>
      <c r="AJ186" s="164"/>
      <c r="AK186" s="165"/>
      <c r="AL186" s="165"/>
      <c r="AM186" s="164"/>
      <c r="AN186" s="164"/>
      <c r="AO186" s="166"/>
      <c r="AP186" s="164"/>
      <c r="AQ186" s="164"/>
      <c r="AR186" s="164"/>
      <c r="AS186" s="164"/>
      <c r="AT186" s="164"/>
      <c r="AU186" s="164"/>
      <c r="AV186" s="164"/>
      <c r="AW186" s="164"/>
      <c r="AX186" s="164"/>
      <c r="AY186" s="164"/>
      <c r="AZ186" s="164"/>
      <c r="BA186" s="164"/>
      <c r="BB186" s="164"/>
      <c r="BC186" s="164"/>
      <c r="BD186" s="164"/>
      <c r="BE186" s="164"/>
      <c r="BF186" s="164"/>
      <c r="BG186" s="164"/>
      <c r="BH186" s="164"/>
      <c r="BI186" s="164"/>
      <c r="BJ186" s="164"/>
      <c r="BK186" s="167"/>
      <c r="BL186" s="168"/>
      <c r="BM186" s="168"/>
      <c r="BN186" s="168"/>
      <c r="BO186" s="168"/>
      <c r="BP186" s="168"/>
      <c r="BQ186" s="168"/>
      <c r="BR186" s="168"/>
      <c r="BS186" s="168"/>
      <c r="BT186" s="168"/>
      <c r="BU186" s="168"/>
      <c r="BV186" s="164"/>
      <c r="BW186" s="164"/>
      <c r="BX186" s="164"/>
      <c r="BY186" s="164"/>
      <c r="BZ186" s="164"/>
      <c r="CA186" s="164"/>
      <c r="CB186" s="164"/>
      <c r="CC186" s="164"/>
      <c r="CD186" s="164"/>
      <c r="CE186" s="168"/>
      <c r="CF186" s="168"/>
      <c r="CG186" s="164"/>
      <c r="CH186" s="164"/>
      <c r="CI186" s="164"/>
      <c r="CJ186" s="164"/>
      <c r="CK186" s="164"/>
      <c r="CL186" s="164"/>
      <c r="CM186" s="164"/>
      <c r="CN186" s="164"/>
      <c r="CO186" s="164"/>
      <c r="CP186" s="164"/>
      <c r="CQ186" s="164"/>
      <c r="CR186" s="164"/>
      <c r="CS186" s="164"/>
      <c r="CT186" s="164"/>
      <c r="CU186" s="164"/>
      <c r="CV186" s="164"/>
      <c r="CW186" s="136">
        <f>CW187</f>
        <v>20000</v>
      </c>
      <c r="CX186" s="136">
        <f>CX187</f>
        <v>20000</v>
      </c>
      <c r="CY186" s="136">
        <v>0</v>
      </c>
      <c r="CZ186" s="164"/>
      <c r="DA186" s="164"/>
      <c r="DB186" s="164"/>
      <c r="DC186" s="164"/>
      <c r="DD186" s="164"/>
      <c r="DE186" s="164"/>
      <c r="DF186" s="136">
        <v>0</v>
      </c>
      <c r="DG186" s="136">
        <v>0</v>
      </c>
      <c r="DH186" s="136">
        <v>0</v>
      </c>
      <c r="DI186" s="136">
        <f>DJ186</f>
        <v>20000</v>
      </c>
      <c r="DJ186" s="136">
        <f>DJ187</f>
        <v>20000</v>
      </c>
      <c r="DK186" s="136">
        <v>0</v>
      </c>
      <c r="DL186" s="136"/>
      <c r="DM186" s="136"/>
      <c r="DN186" s="136"/>
      <c r="DO186" s="136"/>
      <c r="DP186" s="136"/>
      <c r="DQ186" s="136"/>
      <c r="DR186" s="136"/>
      <c r="DS186" s="136"/>
      <c r="DT186" s="136"/>
      <c r="DU186" s="136">
        <v>0</v>
      </c>
      <c r="DV186" s="136">
        <v>0</v>
      </c>
      <c r="DW186" s="136">
        <v>0</v>
      </c>
      <c r="DX186" s="136"/>
      <c r="DY186" s="136"/>
      <c r="DZ186" s="136"/>
      <c r="EA186" s="136"/>
      <c r="EB186" s="136"/>
      <c r="EC186" s="136"/>
      <c r="ED186" s="136">
        <v>0</v>
      </c>
      <c r="EE186" s="136">
        <v>0</v>
      </c>
      <c r="EF186" s="136">
        <v>0</v>
      </c>
      <c r="EG186" s="136">
        <v>0</v>
      </c>
      <c r="EH186" s="136">
        <v>0</v>
      </c>
      <c r="EI186" s="136"/>
      <c r="EJ186" s="136">
        <v>0</v>
      </c>
      <c r="EK186" s="136">
        <f>EL186</f>
        <v>0</v>
      </c>
      <c r="EL186" s="136">
        <f>EL187</f>
        <v>0</v>
      </c>
      <c r="EM186" s="136"/>
      <c r="EN186" s="136">
        <v>0</v>
      </c>
      <c r="EO186" s="136">
        <v>0</v>
      </c>
      <c r="EP186" s="136">
        <v>0</v>
      </c>
      <c r="EQ186" s="136"/>
      <c r="ER186" s="136">
        <v>0</v>
      </c>
      <c r="ES186" s="136">
        <f>ET186</f>
        <v>0</v>
      </c>
      <c r="ET186" s="136">
        <f>ET187</f>
        <v>0</v>
      </c>
      <c r="EU186" s="136"/>
      <c r="EV186" s="136">
        <v>0</v>
      </c>
      <c r="EW186" s="136">
        <v>0</v>
      </c>
      <c r="EX186" s="136">
        <v>0</v>
      </c>
      <c r="EY186" s="136">
        <v>0</v>
      </c>
      <c r="EZ186" s="136">
        <v>0</v>
      </c>
      <c r="FA186" s="136">
        <v>0</v>
      </c>
      <c r="FB186" s="136">
        <v>0</v>
      </c>
      <c r="FC186" s="143">
        <f t="shared" si="373"/>
        <v>0</v>
      </c>
      <c r="FD186" s="134">
        <v>0</v>
      </c>
      <c r="FE186" s="134"/>
      <c r="FF186" s="134">
        <v>0</v>
      </c>
      <c r="FG186" s="134">
        <v>0</v>
      </c>
      <c r="FH186" s="134">
        <v>0</v>
      </c>
      <c r="FI186" s="134"/>
      <c r="FJ186" s="134">
        <v>0</v>
      </c>
      <c r="FK186" s="134">
        <v>0</v>
      </c>
      <c r="FL186" s="134">
        <v>0</v>
      </c>
      <c r="FM186" s="134"/>
      <c r="FN186" s="134">
        <v>0</v>
      </c>
      <c r="FO186" s="143">
        <f t="shared" si="374"/>
        <v>0</v>
      </c>
      <c r="FP186" s="134">
        <v>0</v>
      </c>
      <c r="FQ186" s="134"/>
      <c r="FR186" s="143">
        <f t="shared" si="375"/>
        <v>0</v>
      </c>
      <c r="FS186" s="39">
        <f t="shared" si="338"/>
        <v>0</v>
      </c>
      <c r="FT186" s="485" t="e">
        <f t="shared" si="355"/>
        <v>#DIV/0!</v>
      </c>
      <c r="FU186" s="39">
        <v>0</v>
      </c>
      <c r="FV186" s="485" t="e">
        <f t="shared" si="356"/>
        <v>#DIV/0!</v>
      </c>
      <c r="FW186" s="38">
        <f t="shared" si="357"/>
        <v>0</v>
      </c>
      <c r="FX186" s="660" t="e">
        <f t="shared" si="358"/>
        <v>#DIV/0!</v>
      </c>
      <c r="FY186" s="39">
        <f t="shared" si="359"/>
        <v>0</v>
      </c>
      <c r="FZ186" s="660" t="e">
        <f t="shared" si="360"/>
        <v>#DIV/0!</v>
      </c>
      <c r="GA186" s="39">
        <f t="shared" si="361"/>
        <v>0</v>
      </c>
      <c r="GB186" s="485" t="e">
        <f t="shared" si="362"/>
        <v>#DIV/0!</v>
      </c>
      <c r="GC186" s="39">
        <v>0</v>
      </c>
      <c r="GD186" s="485" t="e">
        <f t="shared" si="376"/>
        <v>#DIV/0!</v>
      </c>
      <c r="GE186" s="82"/>
      <c r="GF186" s="498"/>
      <c r="GG186" s="82">
        <f t="shared" si="363"/>
        <v>0</v>
      </c>
      <c r="GH186" s="498" t="e">
        <f t="shared" si="364"/>
        <v>#DIV/0!</v>
      </c>
      <c r="GI186" s="90">
        <f t="shared" si="365"/>
        <v>0</v>
      </c>
      <c r="GJ186" s="485" t="e">
        <f t="shared" si="366"/>
        <v>#DIV/0!</v>
      </c>
      <c r="GK186" s="90">
        <f t="shared" si="367"/>
        <v>0</v>
      </c>
      <c r="GL186" s="485" t="e">
        <f t="shared" si="368"/>
        <v>#DIV/0!</v>
      </c>
      <c r="GM186" s="90">
        <f t="shared" si="369"/>
        <v>0</v>
      </c>
      <c r="GN186" s="485" t="e">
        <f t="shared" si="370"/>
        <v>#DIV/0!</v>
      </c>
      <c r="GO186" s="90">
        <f t="shared" si="371"/>
        <v>0</v>
      </c>
      <c r="GP186" s="485" t="e">
        <f t="shared" si="372"/>
        <v>#DIV/0!</v>
      </c>
      <c r="GQ186" s="144"/>
      <c r="GR186" s="144"/>
      <c r="GS186" s="144"/>
      <c r="GT186" s="144"/>
      <c r="GU186" s="144">
        <f t="shared" si="377"/>
        <v>0</v>
      </c>
      <c r="GV186" s="136">
        <v>0</v>
      </c>
      <c r="GW186" s="136"/>
      <c r="GX186" s="136">
        <v>0</v>
      </c>
      <c r="GY186" s="136"/>
      <c r="GZ186" s="136"/>
      <c r="HA186" s="136"/>
      <c r="HB186" s="136"/>
      <c r="HC186" s="136"/>
      <c r="HD186" s="136"/>
      <c r="HE186" s="136"/>
      <c r="HF186" s="136"/>
      <c r="HG186" s="144">
        <f t="shared" si="378"/>
        <v>0</v>
      </c>
      <c r="HH186" s="136">
        <v>0</v>
      </c>
      <c r="HI186" s="136"/>
      <c r="HJ186" s="136">
        <v>0</v>
      </c>
      <c r="HK186" s="136">
        <v>0</v>
      </c>
      <c r="HL186" s="136">
        <v>0</v>
      </c>
      <c r="HM186" s="136"/>
      <c r="HN186" s="136">
        <v>0</v>
      </c>
      <c r="HO186" s="144">
        <f t="shared" si="379"/>
        <v>0</v>
      </c>
      <c r="HP186" s="136">
        <v>0</v>
      </c>
      <c r="HQ186" s="136"/>
      <c r="HR186" s="136">
        <v>0</v>
      </c>
      <c r="HS186" s="136">
        <v>0</v>
      </c>
      <c r="HT186" s="136">
        <v>0</v>
      </c>
      <c r="HU186" s="136"/>
      <c r="HV186" s="136">
        <v>0</v>
      </c>
      <c r="HW186" s="136">
        <v>0</v>
      </c>
      <c r="HX186" s="136">
        <v>0</v>
      </c>
      <c r="HY186" s="136"/>
      <c r="HZ186" s="136">
        <v>0</v>
      </c>
      <c r="IA186" s="136">
        <v>0</v>
      </c>
      <c r="IB186" s="136">
        <v>0</v>
      </c>
      <c r="IC186" s="136"/>
      <c r="ID186" s="136">
        <v>0</v>
      </c>
      <c r="IE186" s="200"/>
      <c r="IF186" s="170"/>
      <c r="IG186" s="170"/>
      <c r="IH186" s="170"/>
    </row>
    <row r="187" spans="2:249" s="214" customFormat="1" ht="90.75" hidden="1" customHeight="1" x14ac:dyDescent="0.25">
      <c r="B187" s="131" t="s">
        <v>80</v>
      </c>
      <c r="C187" s="132" t="s">
        <v>290</v>
      </c>
      <c r="D187" s="133" t="s">
        <v>223</v>
      </c>
      <c r="E187" s="134">
        <f>F187+G187</f>
        <v>112693.5</v>
      </c>
      <c r="F187" s="134"/>
      <c r="G187" s="134">
        <v>112693.5</v>
      </c>
      <c r="H187" s="135">
        <f>I187+J187</f>
        <v>0</v>
      </c>
      <c r="I187" s="134"/>
      <c r="J187" s="134">
        <f>M187-G187</f>
        <v>0</v>
      </c>
      <c r="K187" s="134">
        <f>L187+M187</f>
        <v>112693.5</v>
      </c>
      <c r="L187" s="134"/>
      <c r="M187" s="134">
        <v>112693.5</v>
      </c>
      <c r="N187" s="135">
        <f>O187+P187</f>
        <v>40000</v>
      </c>
      <c r="O187" s="134"/>
      <c r="P187" s="134">
        <f>S187-M187</f>
        <v>40000</v>
      </c>
      <c r="Q187" s="136">
        <f>R187+S187</f>
        <v>152693.5</v>
      </c>
      <c r="R187" s="136"/>
      <c r="S187" s="136">
        <f>112693.5+40000</f>
        <v>152693.5</v>
      </c>
      <c r="T187" s="136">
        <f>U187+V187</f>
        <v>0</v>
      </c>
      <c r="U187" s="136"/>
      <c r="V187" s="136"/>
      <c r="W187" s="136">
        <f>X187+Y187</f>
        <v>172677.7</v>
      </c>
      <c r="X187" s="136"/>
      <c r="Y187" s="136">
        <f>AB187-V187</f>
        <v>172677.7</v>
      </c>
      <c r="Z187" s="136">
        <f>AA187+AB187</f>
        <v>172677.7</v>
      </c>
      <c r="AA187" s="136"/>
      <c r="AB187" s="136">
        <v>172677.7</v>
      </c>
      <c r="AC187" s="136">
        <f>AD187+AE187</f>
        <v>0</v>
      </c>
      <c r="AD187" s="136"/>
      <c r="AE187" s="136">
        <v>0</v>
      </c>
      <c r="AF187" s="136" t="e">
        <f>AG187+AH187</f>
        <v>#REF!</v>
      </c>
      <c r="AG187" s="136"/>
      <c r="AH187" s="136" t="e">
        <f>'[3]2017_с остатком на торги'!$AH$114</f>
        <v>#REF!</v>
      </c>
      <c r="AI187" s="136">
        <v>0</v>
      </c>
      <c r="AJ187" s="136">
        <v>0</v>
      </c>
      <c r="AK187" s="136">
        <f>Z187-AJ187</f>
        <v>172677.7</v>
      </c>
      <c r="AL187" s="136" t="e">
        <f>AF187-AJ187</f>
        <v>#REF!</v>
      </c>
      <c r="AM187" s="136" t="s">
        <v>224</v>
      </c>
      <c r="AN187" s="136" t="s">
        <v>225</v>
      </c>
      <c r="AO187" s="137">
        <v>1</v>
      </c>
      <c r="AP187" s="136"/>
      <c r="AQ187" s="136"/>
      <c r="AR187" s="136" t="e">
        <f>AF187-AP187</f>
        <v>#REF!</v>
      </c>
      <c r="AS187" s="136">
        <f>AT187+AU187</f>
        <v>100000</v>
      </c>
      <c r="AT187" s="136"/>
      <c r="AU187" s="136">
        <v>100000</v>
      </c>
      <c r="AV187" s="136">
        <f>AW187+AX187</f>
        <v>0</v>
      </c>
      <c r="AW187" s="136"/>
      <c r="AX187" s="136">
        <v>0</v>
      </c>
      <c r="AY187" s="136">
        <f>AZ187+BA187</f>
        <v>100000</v>
      </c>
      <c r="AZ187" s="136"/>
      <c r="BA187" s="136">
        <f>AU187</f>
        <v>100000</v>
      </c>
      <c r="BB187" s="136">
        <f>BC187+BD187</f>
        <v>100000</v>
      </c>
      <c r="BC187" s="136"/>
      <c r="BD187" s="136">
        <v>100000</v>
      </c>
      <c r="BE187" s="136">
        <f>BF187+BG187</f>
        <v>154943.94699999999</v>
      </c>
      <c r="BF187" s="136"/>
      <c r="BG187" s="136">
        <f>BJ187-BA187</f>
        <v>154943.94699999999</v>
      </c>
      <c r="BH187" s="136">
        <f>BI187+BJ187</f>
        <v>254943.94699999999</v>
      </c>
      <c r="BI187" s="136"/>
      <c r="BJ187" s="136">
        <v>254943.94699999999</v>
      </c>
      <c r="BK187" s="138">
        <v>1</v>
      </c>
      <c r="BL187" s="139">
        <f>AY187</f>
        <v>100000</v>
      </c>
      <c r="BM187" s="136"/>
      <c r="BN187" s="136"/>
      <c r="BO187" s="136"/>
      <c r="BP187" s="136"/>
      <c r="BQ187" s="136"/>
      <c r="BR187" s="136"/>
      <c r="BS187" s="136">
        <f>BT187+BU187</f>
        <v>254943.94699999999</v>
      </c>
      <c r="BT187" s="136"/>
      <c r="BU187" s="136">
        <f>BJ187-BO187</f>
        <v>254943.94699999999</v>
      </c>
      <c r="BV187" s="136">
        <f>BW187+BX187</f>
        <v>100000</v>
      </c>
      <c r="BW187" s="136"/>
      <c r="BX187" s="136">
        <v>100000</v>
      </c>
      <c r="BY187" s="136" t="e">
        <f>BZ187+CA187</f>
        <v>#REF!</v>
      </c>
      <c r="BZ187" s="136"/>
      <c r="CA187" s="136" t="e">
        <f>CD187-BJ187</f>
        <v>#REF!</v>
      </c>
      <c r="CB187" s="136" t="e">
        <f>CC187+CD187</f>
        <v>#REF!</v>
      </c>
      <c r="CC187" s="136"/>
      <c r="CD187" s="136" t="e">
        <f>CD207+CD213+CD219+CD221+CD226+CD229+CD236</f>
        <v>#REF!</v>
      </c>
      <c r="CE187" s="139" t="e">
        <f t="shared" ref="CE187:CS187" si="427">SUM(CE211:CE238)</f>
        <v>#REF!</v>
      </c>
      <c r="CF187" s="139" t="e">
        <f t="shared" si="427"/>
        <v>#REF!</v>
      </c>
      <c r="CG187" s="136" t="e">
        <f t="shared" si="427"/>
        <v>#REF!</v>
      </c>
      <c r="CH187" s="136" t="e">
        <f t="shared" si="427"/>
        <v>#REF!</v>
      </c>
      <c r="CI187" s="136" t="e">
        <f t="shared" si="427"/>
        <v>#REF!</v>
      </c>
      <c r="CJ187" s="136" t="e">
        <f t="shared" si="427"/>
        <v>#REF!</v>
      </c>
      <c r="CK187" s="136" t="e">
        <f t="shared" si="427"/>
        <v>#REF!</v>
      </c>
      <c r="CL187" s="136" t="e">
        <f t="shared" si="427"/>
        <v>#REF!</v>
      </c>
      <c r="CM187" s="136" t="e">
        <f t="shared" si="427"/>
        <v>#REF!</v>
      </c>
      <c r="CN187" s="136" t="e">
        <f t="shared" si="427"/>
        <v>#REF!</v>
      </c>
      <c r="CO187" s="136" t="e">
        <f t="shared" si="427"/>
        <v>#REF!</v>
      </c>
      <c r="CP187" s="136" t="e">
        <f t="shared" si="427"/>
        <v>#REF!</v>
      </c>
      <c r="CQ187" s="136" t="e">
        <f t="shared" si="427"/>
        <v>#REF!</v>
      </c>
      <c r="CR187" s="136" t="e">
        <f t="shared" si="427"/>
        <v>#REF!</v>
      </c>
      <c r="CS187" s="136" t="e">
        <f t="shared" si="427"/>
        <v>#REF!</v>
      </c>
      <c r="CT187" s="136" t="e">
        <f>CU187+CV187</f>
        <v>#REF!</v>
      </c>
      <c r="CU187" s="136">
        <f>SUM(CU211:CU238)</f>
        <v>1134616.6597699998</v>
      </c>
      <c r="CV187" s="136" t="e">
        <f>CV207+CV213+CV219+CV221+CV226+CV229+CV236</f>
        <v>#REF!</v>
      </c>
      <c r="CW187" s="144">
        <f>CX187+CY187</f>
        <v>20000</v>
      </c>
      <c r="CX187" s="144">
        <v>20000</v>
      </c>
      <c r="CY187" s="144">
        <v>0</v>
      </c>
      <c r="CZ187" s="144">
        <f>DA187+DB187</f>
        <v>0</v>
      </c>
      <c r="DA187" s="144"/>
      <c r="DB187" s="144">
        <v>0</v>
      </c>
      <c r="DC187" s="144">
        <f>DD187+DE187</f>
        <v>0</v>
      </c>
      <c r="DD187" s="144"/>
      <c r="DE187" s="144">
        <v>0</v>
      </c>
      <c r="DF187" s="144">
        <f>DG187+DH187</f>
        <v>0</v>
      </c>
      <c r="DG187" s="144">
        <f>DJ187-CX187</f>
        <v>0</v>
      </c>
      <c r="DH187" s="144">
        <v>0</v>
      </c>
      <c r="DI187" s="144">
        <f>DJ187+DK187</f>
        <v>20000</v>
      </c>
      <c r="DJ187" s="144">
        <v>20000</v>
      </c>
      <c r="DK187" s="144">
        <v>0</v>
      </c>
      <c r="DL187" s="144">
        <f>DM187+DN187</f>
        <v>0</v>
      </c>
      <c r="DM187" s="144">
        <v>0</v>
      </c>
      <c r="DN187" s="144">
        <v>0</v>
      </c>
      <c r="DO187" s="144">
        <f>DP187+DQ187</f>
        <v>0</v>
      </c>
      <c r="DP187" s="144"/>
      <c r="DQ187" s="144">
        <v>0</v>
      </c>
      <c r="DR187" s="144">
        <f>DS187+DT187</f>
        <v>20000</v>
      </c>
      <c r="DS187" s="144">
        <f>DJ187-DM187-DP187</f>
        <v>20000</v>
      </c>
      <c r="DT187" s="144">
        <v>0</v>
      </c>
      <c r="DU187" s="144">
        <v>0</v>
      </c>
      <c r="DV187" s="144">
        <v>0</v>
      </c>
      <c r="DW187" s="144">
        <v>0</v>
      </c>
      <c r="DX187" s="144"/>
      <c r="DY187" s="144"/>
      <c r="DZ187" s="144"/>
      <c r="EA187" s="144"/>
      <c r="EB187" s="144"/>
      <c r="EC187" s="144"/>
      <c r="ED187" s="144">
        <v>0</v>
      </c>
      <c r="EE187" s="144">
        <v>0</v>
      </c>
      <c r="EF187" s="144">
        <v>0</v>
      </c>
      <c r="EG187" s="144">
        <v>0</v>
      </c>
      <c r="EH187" s="144">
        <v>0</v>
      </c>
      <c r="EI187" s="144"/>
      <c r="EJ187" s="144">
        <v>0</v>
      </c>
      <c r="EK187" s="144">
        <f>EL187</f>
        <v>0</v>
      </c>
      <c r="EL187" s="144">
        <f>ET187-EH187</f>
        <v>0</v>
      </c>
      <c r="EM187" s="144"/>
      <c r="EN187" s="144">
        <v>0</v>
      </c>
      <c r="EO187" s="144">
        <v>0</v>
      </c>
      <c r="EP187" s="144">
        <v>0</v>
      </c>
      <c r="EQ187" s="144"/>
      <c r="ER187" s="144">
        <v>0</v>
      </c>
      <c r="ES187" s="144">
        <f>ET187</f>
        <v>0</v>
      </c>
      <c r="ET187" s="144"/>
      <c r="EU187" s="144"/>
      <c r="EV187" s="144">
        <v>0</v>
      </c>
      <c r="EW187" s="144">
        <v>0</v>
      </c>
      <c r="EX187" s="144">
        <v>0</v>
      </c>
      <c r="EY187" s="144">
        <v>0</v>
      </c>
      <c r="EZ187" s="144">
        <v>0</v>
      </c>
      <c r="FA187" s="144">
        <v>0</v>
      </c>
      <c r="FB187" s="144">
        <v>0</v>
      </c>
      <c r="FC187" s="143">
        <f t="shared" si="373"/>
        <v>0</v>
      </c>
      <c r="FD187" s="143">
        <v>0</v>
      </c>
      <c r="FE187" s="143"/>
      <c r="FF187" s="143">
        <v>0</v>
      </c>
      <c r="FG187" s="143">
        <v>0</v>
      </c>
      <c r="FH187" s="143">
        <v>0</v>
      </c>
      <c r="FI187" s="143"/>
      <c r="FJ187" s="143">
        <v>0</v>
      </c>
      <c r="FK187" s="143">
        <v>0</v>
      </c>
      <c r="FL187" s="143">
        <v>0</v>
      </c>
      <c r="FM187" s="143"/>
      <c r="FN187" s="143">
        <v>0</v>
      </c>
      <c r="FO187" s="143">
        <f t="shared" si="374"/>
        <v>0</v>
      </c>
      <c r="FP187" s="143">
        <v>0</v>
      </c>
      <c r="FQ187" s="143"/>
      <c r="FR187" s="143">
        <f t="shared" si="375"/>
        <v>0</v>
      </c>
      <c r="FS187" s="39">
        <f t="shared" si="338"/>
        <v>0</v>
      </c>
      <c r="FT187" s="485" t="e">
        <f t="shared" si="355"/>
        <v>#DIV/0!</v>
      </c>
      <c r="FU187" s="39">
        <v>0</v>
      </c>
      <c r="FV187" s="485" t="e">
        <f t="shared" si="356"/>
        <v>#DIV/0!</v>
      </c>
      <c r="FW187" s="38">
        <f t="shared" si="357"/>
        <v>0</v>
      </c>
      <c r="FX187" s="660" t="e">
        <f t="shared" si="358"/>
        <v>#DIV/0!</v>
      </c>
      <c r="FY187" s="39">
        <f t="shared" si="359"/>
        <v>0</v>
      </c>
      <c r="FZ187" s="660" t="e">
        <f t="shared" si="360"/>
        <v>#DIV/0!</v>
      </c>
      <c r="GA187" s="39">
        <f t="shared" si="361"/>
        <v>0</v>
      </c>
      <c r="GB187" s="485" t="e">
        <f t="shared" si="362"/>
        <v>#DIV/0!</v>
      </c>
      <c r="GC187" s="39">
        <v>0</v>
      </c>
      <c r="GD187" s="485" t="e">
        <f t="shared" si="376"/>
        <v>#DIV/0!</v>
      </c>
      <c r="GE187" s="82"/>
      <c r="GF187" s="498"/>
      <c r="GG187" s="82">
        <f t="shared" si="363"/>
        <v>0</v>
      </c>
      <c r="GH187" s="498" t="e">
        <f t="shared" si="364"/>
        <v>#DIV/0!</v>
      </c>
      <c r="GI187" s="90">
        <f t="shared" si="365"/>
        <v>0</v>
      </c>
      <c r="GJ187" s="485" t="e">
        <f t="shared" si="366"/>
        <v>#DIV/0!</v>
      </c>
      <c r="GK187" s="90">
        <f t="shared" si="367"/>
        <v>0</v>
      </c>
      <c r="GL187" s="485" t="e">
        <f t="shared" si="368"/>
        <v>#DIV/0!</v>
      </c>
      <c r="GM187" s="90">
        <f t="shared" si="369"/>
        <v>0</v>
      </c>
      <c r="GN187" s="485" t="e">
        <f t="shared" si="370"/>
        <v>#DIV/0!</v>
      </c>
      <c r="GO187" s="90">
        <f t="shared" si="371"/>
        <v>0</v>
      </c>
      <c r="GP187" s="485" t="e">
        <f t="shared" si="372"/>
        <v>#DIV/0!</v>
      </c>
      <c r="GQ187" s="144"/>
      <c r="GR187" s="144"/>
      <c r="GS187" s="144"/>
      <c r="GT187" s="144"/>
      <c r="GU187" s="144">
        <f t="shared" si="377"/>
        <v>0</v>
      </c>
      <c r="GV187" s="144">
        <v>0</v>
      </c>
      <c r="GW187" s="144"/>
      <c r="GX187" s="144">
        <v>0</v>
      </c>
      <c r="GY187" s="144"/>
      <c r="GZ187" s="144"/>
      <c r="HA187" s="144"/>
      <c r="HB187" s="144"/>
      <c r="HC187" s="144"/>
      <c r="HD187" s="144"/>
      <c r="HE187" s="144"/>
      <c r="HF187" s="144"/>
      <c r="HG187" s="144">
        <f t="shared" si="378"/>
        <v>0</v>
      </c>
      <c r="HH187" s="144">
        <v>0</v>
      </c>
      <c r="HI187" s="144"/>
      <c r="HJ187" s="144">
        <v>0</v>
      </c>
      <c r="HK187" s="144">
        <v>0</v>
      </c>
      <c r="HL187" s="144">
        <v>0</v>
      </c>
      <c r="HM187" s="144"/>
      <c r="HN187" s="144">
        <v>0</v>
      </c>
      <c r="HO187" s="144">
        <f t="shared" si="379"/>
        <v>0</v>
      </c>
      <c r="HP187" s="144">
        <v>0</v>
      </c>
      <c r="HQ187" s="144"/>
      <c r="HR187" s="144">
        <v>0</v>
      </c>
      <c r="HS187" s="144">
        <v>0</v>
      </c>
      <c r="HT187" s="144">
        <v>0</v>
      </c>
      <c r="HU187" s="144"/>
      <c r="HV187" s="144">
        <v>0</v>
      </c>
      <c r="HW187" s="144">
        <v>0</v>
      </c>
      <c r="HX187" s="144">
        <v>0</v>
      </c>
      <c r="HY187" s="144"/>
      <c r="HZ187" s="144">
        <v>0</v>
      </c>
      <c r="IA187" s="144">
        <v>0</v>
      </c>
      <c r="IB187" s="144">
        <v>0</v>
      </c>
      <c r="IC187" s="144"/>
      <c r="ID187" s="144">
        <v>0</v>
      </c>
      <c r="IE187" s="216"/>
      <c r="IF187" s="141"/>
      <c r="IG187" s="141"/>
      <c r="IH187" s="141"/>
      <c r="II187" s="202"/>
      <c r="IJ187" s="202"/>
      <c r="IK187" s="202"/>
      <c r="IL187" s="202"/>
      <c r="IM187" s="202"/>
      <c r="IN187" s="202"/>
      <c r="IO187" s="202"/>
    </row>
    <row r="188" spans="2:249" s="214" customFormat="1" ht="114" hidden="1" customHeight="1" x14ac:dyDescent="0.25">
      <c r="B188" s="186" t="s">
        <v>221</v>
      </c>
      <c r="C188" s="226" t="s">
        <v>291</v>
      </c>
      <c r="D188" s="133"/>
      <c r="E188" s="134"/>
      <c r="F188" s="134"/>
      <c r="G188" s="134"/>
      <c r="H188" s="135"/>
      <c r="I188" s="134"/>
      <c r="J188" s="134"/>
      <c r="K188" s="134"/>
      <c r="L188" s="134"/>
      <c r="M188" s="134"/>
      <c r="N188" s="135"/>
      <c r="O188" s="134"/>
      <c r="P188" s="134"/>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7"/>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8"/>
      <c r="BL188" s="139"/>
      <c r="BM188" s="136"/>
      <c r="BN188" s="136"/>
      <c r="BO188" s="136"/>
      <c r="BP188" s="136"/>
      <c r="BQ188" s="136"/>
      <c r="BR188" s="136"/>
      <c r="BS188" s="136"/>
      <c r="BT188" s="136"/>
      <c r="BU188" s="136"/>
      <c r="BV188" s="136"/>
      <c r="BW188" s="136"/>
      <c r="BX188" s="136"/>
      <c r="BY188" s="136"/>
      <c r="BZ188" s="136"/>
      <c r="CA188" s="136"/>
      <c r="CB188" s="136"/>
      <c r="CC188" s="136"/>
      <c r="CD188" s="136"/>
      <c r="CE188" s="139"/>
      <c r="CF188" s="139"/>
      <c r="CG188" s="136"/>
      <c r="CH188" s="136"/>
      <c r="CI188" s="136"/>
      <c r="CJ188" s="136"/>
      <c r="CK188" s="136"/>
      <c r="CL188" s="136"/>
      <c r="CM188" s="136"/>
      <c r="CN188" s="136"/>
      <c r="CO188" s="136"/>
      <c r="CP188" s="136"/>
      <c r="CQ188" s="136"/>
      <c r="CR188" s="136"/>
      <c r="CS188" s="136"/>
      <c r="CT188" s="136"/>
      <c r="CU188" s="136"/>
      <c r="CV188" s="136"/>
      <c r="CW188" s="144"/>
      <c r="CX188" s="144"/>
      <c r="CY188" s="144"/>
      <c r="CZ188" s="144"/>
      <c r="DA188" s="144"/>
      <c r="DB188" s="144"/>
      <c r="DC188" s="144"/>
      <c r="DD188" s="144"/>
      <c r="DE188" s="144"/>
      <c r="DF188" s="144"/>
      <c r="DG188" s="144"/>
      <c r="DH188" s="144"/>
      <c r="DI188" s="144"/>
      <c r="DJ188" s="144"/>
      <c r="DK188" s="144"/>
      <c r="DL188" s="144"/>
      <c r="DM188" s="144"/>
      <c r="DN188" s="144"/>
      <c r="DO188" s="144"/>
      <c r="DP188" s="144"/>
      <c r="DQ188" s="144"/>
      <c r="DR188" s="144"/>
      <c r="DS188" s="144"/>
      <c r="DT188" s="144"/>
      <c r="DU188" s="144"/>
      <c r="DV188" s="144"/>
      <c r="DW188" s="144"/>
      <c r="DX188" s="144"/>
      <c r="DY188" s="144"/>
      <c r="DZ188" s="144"/>
      <c r="EA188" s="144"/>
      <c r="EB188" s="144"/>
      <c r="EC188" s="144"/>
      <c r="ED188" s="144"/>
      <c r="EE188" s="144"/>
      <c r="EF188" s="144"/>
      <c r="EG188" s="144"/>
      <c r="EH188" s="144"/>
      <c r="EI188" s="144"/>
      <c r="EJ188" s="144"/>
      <c r="EK188" s="144"/>
      <c r="EL188" s="144"/>
      <c r="EM188" s="144"/>
      <c r="EN188" s="144"/>
      <c r="EO188" s="144"/>
      <c r="EP188" s="144"/>
      <c r="EQ188" s="144"/>
      <c r="ER188" s="144"/>
      <c r="ES188" s="144"/>
      <c r="ET188" s="144"/>
      <c r="EU188" s="144"/>
      <c r="EV188" s="144"/>
      <c r="EW188" s="144"/>
      <c r="EX188" s="144"/>
      <c r="EY188" s="144"/>
      <c r="EZ188" s="144"/>
      <c r="FA188" s="144"/>
      <c r="FB188" s="144"/>
      <c r="FC188" s="143">
        <f t="shared" si="373"/>
        <v>0</v>
      </c>
      <c r="FD188" s="143"/>
      <c r="FE188" s="143"/>
      <c r="FF188" s="143">
        <v>0</v>
      </c>
      <c r="FG188" s="143">
        <f>FJ188</f>
        <v>1000</v>
      </c>
      <c r="FH188" s="143"/>
      <c r="FI188" s="143"/>
      <c r="FJ188" s="143">
        <f>FR188-FF188</f>
        <v>1000</v>
      </c>
      <c r="FK188" s="143"/>
      <c r="FL188" s="143"/>
      <c r="FM188" s="143"/>
      <c r="FN188" s="143"/>
      <c r="FO188" s="143">
        <f t="shared" si="374"/>
        <v>1000</v>
      </c>
      <c r="FP188" s="143"/>
      <c r="FQ188" s="143"/>
      <c r="FR188" s="143">
        <v>1000</v>
      </c>
      <c r="FS188" s="39">
        <f t="shared" si="338"/>
        <v>0</v>
      </c>
      <c r="FT188" s="485" t="e">
        <f t="shared" si="355"/>
        <v>#DIV/0!</v>
      </c>
      <c r="FU188" s="39">
        <v>0</v>
      </c>
      <c r="FV188" s="485" t="e">
        <f t="shared" si="356"/>
        <v>#DIV/0!</v>
      </c>
      <c r="FW188" s="38">
        <f t="shared" si="357"/>
        <v>0</v>
      </c>
      <c r="FX188" s="660" t="e">
        <f t="shared" si="358"/>
        <v>#DIV/0!</v>
      </c>
      <c r="FY188" s="39">
        <f t="shared" si="359"/>
        <v>0</v>
      </c>
      <c r="FZ188" s="660" t="e">
        <f t="shared" si="360"/>
        <v>#DIV/0!</v>
      </c>
      <c r="GA188" s="39">
        <f t="shared" si="361"/>
        <v>0</v>
      </c>
      <c r="GB188" s="485" t="e">
        <f t="shared" si="362"/>
        <v>#DIV/0!</v>
      </c>
      <c r="GC188" s="39">
        <v>0</v>
      </c>
      <c r="GD188" s="485" t="e">
        <f t="shared" si="376"/>
        <v>#DIV/0!</v>
      </c>
      <c r="GE188" s="82"/>
      <c r="GF188" s="498"/>
      <c r="GG188" s="82">
        <f t="shared" si="363"/>
        <v>0</v>
      </c>
      <c r="GH188" s="498" t="e">
        <f t="shared" si="364"/>
        <v>#DIV/0!</v>
      </c>
      <c r="GI188" s="90">
        <f t="shared" si="365"/>
        <v>0</v>
      </c>
      <c r="GJ188" s="485" t="e">
        <f t="shared" si="366"/>
        <v>#DIV/0!</v>
      </c>
      <c r="GK188" s="90">
        <f t="shared" si="367"/>
        <v>0</v>
      </c>
      <c r="GL188" s="485" t="e">
        <f t="shared" si="368"/>
        <v>#DIV/0!</v>
      </c>
      <c r="GM188" s="90">
        <f t="shared" si="369"/>
        <v>0</v>
      </c>
      <c r="GN188" s="485" t="e">
        <f t="shared" si="370"/>
        <v>#DIV/0!</v>
      </c>
      <c r="GO188" s="90">
        <f t="shared" si="371"/>
        <v>0</v>
      </c>
      <c r="GP188" s="485" t="e">
        <f t="shared" si="372"/>
        <v>#DIV/0!</v>
      </c>
      <c r="GQ188" s="144"/>
      <c r="GR188" s="144"/>
      <c r="GS188" s="144"/>
      <c r="GT188" s="144"/>
      <c r="GU188" s="144">
        <f t="shared" si="377"/>
        <v>0</v>
      </c>
      <c r="GV188" s="144"/>
      <c r="GW188" s="144"/>
      <c r="GX188" s="144"/>
      <c r="GY188" s="144"/>
      <c r="GZ188" s="144"/>
      <c r="HA188" s="144"/>
      <c r="HB188" s="144"/>
      <c r="HC188" s="144"/>
      <c r="HD188" s="144"/>
      <c r="HE188" s="144"/>
      <c r="HF188" s="144"/>
      <c r="HG188" s="144">
        <f t="shared" si="378"/>
        <v>75549.461750000002</v>
      </c>
      <c r="HH188" s="144"/>
      <c r="HI188" s="144"/>
      <c r="HJ188" s="144">
        <f>HR188-GX188</f>
        <v>75549.461750000002</v>
      </c>
      <c r="HK188" s="144"/>
      <c r="HL188" s="144"/>
      <c r="HM188" s="144"/>
      <c r="HN188" s="144"/>
      <c r="HO188" s="144">
        <f t="shared" si="379"/>
        <v>75549.461750000002</v>
      </c>
      <c r="HP188" s="144"/>
      <c r="HQ188" s="144"/>
      <c r="HR188" s="144">
        <v>75549.461750000002</v>
      </c>
      <c r="HS188" s="144">
        <f>HV188</f>
        <v>0</v>
      </c>
      <c r="HT188" s="144"/>
      <c r="HU188" s="144"/>
      <c r="HV188" s="144">
        <v>0</v>
      </c>
      <c r="HW188" s="144">
        <f>HZ188</f>
        <v>59671.516710000004</v>
      </c>
      <c r="HX188" s="144"/>
      <c r="HY188" s="144"/>
      <c r="HZ188" s="144">
        <f>ID188</f>
        <v>59671.516710000004</v>
      </c>
      <c r="IA188" s="144">
        <f>ID188</f>
        <v>59671.516710000004</v>
      </c>
      <c r="IB188" s="144"/>
      <c r="IC188" s="144"/>
      <c r="ID188" s="144">
        <f>59671.51671</f>
        <v>59671.516710000004</v>
      </c>
      <c r="IE188" s="216"/>
      <c r="IF188" s="141" t="s">
        <v>292</v>
      </c>
      <c r="IG188" s="141"/>
      <c r="IH188" s="141"/>
      <c r="II188" s="202"/>
      <c r="IJ188" s="202"/>
      <c r="IK188" s="202"/>
      <c r="IL188" s="202"/>
      <c r="IM188" s="202"/>
      <c r="IN188" s="202"/>
      <c r="IO188" s="202"/>
    </row>
    <row r="189" spans="2:249" s="563" customFormat="1" ht="81" customHeight="1" x14ac:dyDescent="0.25">
      <c r="B189" s="131" t="s">
        <v>78</v>
      </c>
      <c r="C189" s="132" t="s">
        <v>293</v>
      </c>
      <c r="D189" s="133"/>
      <c r="E189" s="134"/>
      <c r="F189" s="134"/>
      <c r="G189" s="134"/>
      <c r="H189" s="134"/>
      <c r="I189" s="134"/>
      <c r="J189" s="134"/>
      <c r="K189" s="134"/>
      <c r="L189" s="134"/>
      <c r="M189" s="134"/>
      <c r="N189" s="134"/>
      <c r="O189" s="134"/>
      <c r="P189" s="134"/>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7"/>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8"/>
      <c r="BL189" s="139"/>
      <c r="BM189" s="136"/>
      <c r="BN189" s="136"/>
      <c r="BO189" s="136"/>
      <c r="BP189" s="136"/>
      <c r="BQ189" s="136"/>
      <c r="BR189" s="136"/>
      <c r="BS189" s="136"/>
      <c r="BT189" s="136"/>
      <c r="BU189" s="136"/>
      <c r="BV189" s="136"/>
      <c r="BW189" s="136"/>
      <c r="BX189" s="136"/>
      <c r="BY189" s="136"/>
      <c r="BZ189" s="136"/>
      <c r="CA189" s="136"/>
      <c r="CB189" s="136"/>
      <c r="CC189" s="136"/>
      <c r="CD189" s="136"/>
      <c r="CE189" s="139"/>
      <c r="CF189" s="139"/>
      <c r="CG189" s="136"/>
      <c r="CH189" s="136"/>
      <c r="CI189" s="136"/>
      <c r="CJ189" s="136"/>
      <c r="CK189" s="136"/>
      <c r="CL189" s="136"/>
      <c r="CM189" s="136"/>
      <c r="CN189" s="136"/>
      <c r="CO189" s="136"/>
      <c r="CP189" s="136"/>
      <c r="CQ189" s="136"/>
      <c r="CR189" s="136"/>
      <c r="CS189" s="136"/>
      <c r="CT189" s="136"/>
      <c r="CU189" s="136"/>
      <c r="CV189" s="136"/>
      <c r="CW189" s="136" t="e">
        <f>CW190</f>
        <v>#REF!</v>
      </c>
      <c r="CX189" s="136" t="e">
        <f t="shared" ref="CX189:FQ189" si="428">CX190</f>
        <v>#REF!</v>
      </c>
      <c r="CY189" s="136">
        <f t="shared" si="428"/>
        <v>0</v>
      </c>
      <c r="CZ189" s="136">
        <f t="shared" si="428"/>
        <v>545601.30000000005</v>
      </c>
      <c r="DA189" s="136">
        <f t="shared" si="428"/>
        <v>545601.30000000005</v>
      </c>
      <c r="DB189" s="136">
        <f t="shared" si="428"/>
        <v>0</v>
      </c>
      <c r="DC189" s="136">
        <f t="shared" si="428"/>
        <v>166307.16456999999</v>
      </c>
      <c r="DD189" s="136">
        <f t="shared" si="428"/>
        <v>166307.16456999999</v>
      </c>
      <c r="DE189" s="136">
        <f t="shared" si="428"/>
        <v>0</v>
      </c>
      <c r="DF189" s="136" t="e">
        <f t="shared" si="428"/>
        <v>#REF!</v>
      </c>
      <c r="DG189" s="136" t="e">
        <f t="shared" si="428"/>
        <v>#REF!</v>
      </c>
      <c r="DH189" s="136">
        <f t="shared" si="428"/>
        <v>0</v>
      </c>
      <c r="DI189" s="136" t="e">
        <f t="shared" si="428"/>
        <v>#REF!</v>
      </c>
      <c r="DJ189" s="136" t="e">
        <f t="shared" si="428"/>
        <v>#REF!</v>
      </c>
      <c r="DK189" s="136">
        <f t="shared" si="428"/>
        <v>0</v>
      </c>
      <c r="DL189" s="136">
        <f t="shared" si="428"/>
        <v>718811.42307000002</v>
      </c>
      <c r="DM189" s="136">
        <f t="shared" si="428"/>
        <v>718811.42307000002</v>
      </c>
      <c r="DN189" s="136">
        <f t="shared" si="428"/>
        <v>0</v>
      </c>
      <c r="DO189" s="136">
        <f t="shared" si="428"/>
        <v>-58063.884180000001</v>
      </c>
      <c r="DP189" s="136">
        <f t="shared" si="428"/>
        <v>-58063.884180000001</v>
      </c>
      <c r="DQ189" s="136">
        <f t="shared" si="428"/>
        <v>0</v>
      </c>
      <c r="DR189" s="136">
        <f t="shared" si="428"/>
        <v>-660747.53888999997</v>
      </c>
      <c r="DS189" s="136">
        <f t="shared" si="428"/>
        <v>-660747.53888999997</v>
      </c>
      <c r="DT189" s="136">
        <f t="shared" si="428"/>
        <v>0</v>
      </c>
      <c r="DU189" s="136">
        <f t="shared" si="428"/>
        <v>0</v>
      </c>
      <c r="DV189" s="136">
        <f t="shared" si="428"/>
        <v>0</v>
      </c>
      <c r="DW189" s="136">
        <f t="shared" si="428"/>
        <v>0</v>
      </c>
      <c r="DX189" s="136">
        <f t="shared" si="428"/>
        <v>702541.68420000002</v>
      </c>
      <c r="DY189" s="136">
        <f t="shared" si="428"/>
        <v>702541.68420000002</v>
      </c>
      <c r="DZ189" s="136">
        <f t="shared" si="428"/>
        <v>0</v>
      </c>
      <c r="EA189" s="136">
        <f t="shared" si="428"/>
        <v>363493.84052999999</v>
      </c>
      <c r="EB189" s="136">
        <f t="shared" si="428"/>
        <v>363493.84052999999</v>
      </c>
      <c r="EC189" s="136">
        <f t="shared" si="428"/>
        <v>0</v>
      </c>
      <c r="ED189" s="136">
        <f t="shared" si="428"/>
        <v>290541.68420000002</v>
      </c>
      <c r="EE189" s="136">
        <f t="shared" si="428"/>
        <v>290541.68420000002</v>
      </c>
      <c r="EF189" s="136">
        <f t="shared" si="428"/>
        <v>0</v>
      </c>
      <c r="EG189" s="136">
        <f t="shared" si="428"/>
        <v>290541.68420000002</v>
      </c>
      <c r="EH189" s="136">
        <f t="shared" si="428"/>
        <v>290541.68420000002</v>
      </c>
      <c r="EI189" s="136">
        <f t="shared" si="428"/>
        <v>0</v>
      </c>
      <c r="EJ189" s="136">
        <f t="shared" si="428"/>
        <v>0</v>
      </c>
      <c r="EK189" s="136">
        <f t="shared" si="428"/>
        <v>-13120.291999999999</v>
      </c>
      <c r="EL189" s="136">
        <f t="shared" si="428"/>
        <v>-13120.291999999999</v>
      </c>
      <c r="EM189" s="136"/>
      <c r="EN189" s="136">
        <f t="shared" si="428"/>
        <v>0</v>
      </c>
      <c r="EO189" s="136">
        <f t="shared" si="428"/>
        <v>0</v>
      </c>
      <c r="EP189" s="136">
        <f t="shared" si="428"/>
        <v>0</v>
      </c>
      <c r="EQ189" s="136"/>
      <c r="ER189" s="136">
        <f t="shared" si="428"/>
        <v>0</v>
      </c>
      <c r="ES189" s="136">
        <f t="shared" si="428"/>
        <v>0</v>
      </c>
      <c r="ET189" s="136">
        <f t="shared" si="428"/>
        <v>0</v>
      </c>
      <c r="EU189" s="136"/>
      <c r="EV189" s="136">
        <f t="shared" si="428"/>
        <v>0</v>
      </c>
      <c r="EW189" s="136">
        <f t="shared" si="428"/>
        <v>0</v>
      </c>
      <c r="EX189" s="136">
        <f t="shared" si="428"/>
        <v>0</v>
      </c>
      <c r="EY189" s="136">
        <f t="shared" si="428"/>
        <v>0</v>
      </c>
      <c r="EZ189" s="136" t="e">
        <f t="shared" si="428"/>
        <v>#REF!</v>
      </c>
      <c r="FA189" s="136" t="e">
        <f t="shared" si="428"/>
        <v>#REF!</v>
      </c>
      <c r="FB189" s="136">
        <f t="shared" si="428"/>
        <v>0</v>
      </c>
      <c r="FC189" s="134">
        <f t="shared" si="428"/>
        <v>293986.49067000003</v>
      </c>
      <c r="FD189" s="134">
        <f t="shared" si="428"/>
        <v>293986.49067000003</v>
      </c>
      <c r="FE189" s="134">
        <f t="shared" si="428"/>
        <v>0</v>
      </c>
      <c r="FF189" s="134">
        <f t="shared" si="428"/>
        <v>0</v>
      </c>
      <c r="FG189" s="134" t="e">
        <f t="shared" si="428"/>
        <v>#REF!</v>
      </c>
      <c r="FH189" s="134" t="e">
        <f t="shared" si="428"/>
        <v>#REF!</v>
      </c>
      <c r="FI189" s="134"/>
      <c r="FJ189" s="134">
        <f t="shared" si="428"/>
        <v>0</v>
      </c>
      <c r="FK189" s="134">
        <f t="shared" si="428"/>
        <v>0</v>
      </c>
      <c r="FL189" s="134">
        <f t="shared" si="428"/>
        <v>0</v>
      </c>
      <c r="FM189" s="134"/>
      <c r="FN189" s="134">
        <f t="shared" si="428"/>
        <v>0</v>
      </c>
      <c r="FO189" s="134">
        <f t="shared" si="428"/>
        <v>290541.68420000002</v>
      </c>
      <c r="FP189" s="134">
        <f t="shared" si="428"/>
        <v>290541.68420000002</v>
      </c>
      <c r="FQ189" s="134">
        <f t="shared" si="428"/>
        <v>0</v>
      </c>
      <c r="FR189" s="134">
        <f>FR190</f>
        <v>0</v>
      </c>
      <c r="FS189" s="84">
        <f t="shared" si="338"/>
        <v>69352.953829999999</v>
      </c>
      <c r="FT189" s="486">
        <f t="shared" si="355"/>
        <v>0.23590524065219282</v>
      </c>
      <c r="FU189" s="134">
        <f>FU190</f>
        <v>69352.953829999999</v>
      </c>
      <c r="FV189" s="486">
        <f t="shared" si="356"/>
        <v>0.23590524065219282</v>
      </c>
      <c r="FW189" s="62">
        <f t="shared" si="357"/>
        <v>0</v>
      </c>
      <c r="FX189" s="661">
        <v>0</v>
      </c>
      <c r="FY189" s="134">
        <f t="shared" si="359"/>
        <v>0</v>
      </c>
      <c r="FZ189" s="661">
        <v>0</v>
      </c>
      <c r="GA189" s="134">
        <f t="shared" si="361"/>
        <v>69352.953829999999</v>
      </c>
      <c r="GB189" s="486">
        <f t="shared" si="362"/>
        <v>0.23590524065219282</v>
      </c>
      <c r="GC189" s="134">
        <f>GC190</f>
        <v>69352.953829999999</v>
      </c>
      <c r="GD189" s="486">
        <f t="shared" si="376"/>
        <v>0.23590524065219282</v>
      </c>
      <c r="GE189" s="62"/>
      <c r="GF189" s="552"/>
      <c r="GG189" s="62">
        <f t="shared" si="363"/>
        <v>0</v>
      </c>
      <c r="GH189" s="552">
        <v>0</v>
      </c>
      <c r="GI189" s="84">
        <f t="shared" si="365"/>
        <v>293334.31233000004</v>
      </c>
      <c r="GJ189" s="486">
        <f t="shared" si="366"/>
        <v>0.99778160439102603</v>
      </c>
      <c r="GK189" s="84">
        <f>GK190</f>
        <v>293334.31233000004</v>
      </c>
      <c r="GL189" s="486">
        <f t="shared" si="368"/>
        <v>0.99778160439102603</v>
      </c>
      <c r="GM189" s="84">
        <f t="shared" si="369"/>
        <v>0</v>
      </c>
      <c r="GN189" s="486">
        <v>0</v>
      </c>
      <c r="GO189" s="84">
        <f t="shared" si="371"/>
        <v>0</v>
      </c>
      <c r="GP189" s="486">
        <v>0</v>
      </c>
      <c r="GQ189" s="136"/>
      <c r="GR189" s="136"/>
      <c r="GS189" s="136"/>
      <c r="GT189" s="136"/>
      <c r="GU189" s="136">
        <f>GU190</f>
        <v>8189.6653699999997</v>
      </c>
      <c r="GV189" s="136">
        <f>GV190</f>
        <v>8189.6653699999997</v>
      </c>
      <c r="GW189" s="136"/>
      <c r="GX189" s="136"/>
      <c r="GY189" s="136"/>
      <c r="GZ189" s="136"/>
      <c r="HA189" s="136"/>
      <c r="HB189" s="136"/>
      <c r="HC189" s="136"/>
      <c r="HD189" s="136"/>
      <c r="HE189" s="136"/>
      <c r="HF189" s="136"/>
      <c r="HG189" s="136">
        <f>HG190</f>
        <v>0</v>
      </c>
      <c r="HH189" s="136">
        <f>HH190</f>
        <v>0</v>
      </c>
      <c r="HI189" s="136"/>
      <c r="HJ189" s="136"/>
      <c r="HK189" s="136">
        <f>HK190</f>
        <v>0</v>
      </c>
      <c r="HL189" s="136">
        <f>HL190</f>
        <v>0</v>
      </c>
      <c r="HM189" s="136"/>
      <c r="HN189" s="136"/>
      <c r="HO189" s="136">
        <f>HO190</f>
        <v>8189.6653699999997</v>
      </c>
      <c r="HP189" s="136">
        <f>HP190</f>
        <v>8189.6653699999997</v>
      </c>
      <c r="HQ189" s="136"/>
      <c r="HR189" s="136"/>
      <c r="HS189" s="136">
        <f>HS190</f>
        <v>0</v>
      </c>
      <c r="HT189" s="136">
        <f>HT190</f>
        <v>0</v>
      </c>
      <c r="HU189" s="136"/>
      <c r="HV189" s="136"/>
      <c r="HW189" s="136">
        <f>HW190</f>
        <v>0</v>
      </c>
      <c r="HX189" s="136">
        <f>HX190</f>
        <v>0</v>
      </c>
      <c r="HY189" s="136"/>
      <c r="HZ189" s="136"/>
      <c r="IA189" s="136">
        <f>IA190</f>
        <v>0</v>
      </c>
      <c r="IB189" s="136">
        <f>IB190</f>
        <v>0</v>
      </c>
      <c r="IC189" s="136"/>
      <c r="ID189" s="136"/>
      <c r="IE189" s="556"/>
      <c r="IF189" s="217"/>
      <c r="IG189" s="217"/>
      <c r="IH189" s="217"/>
      <c r="II189" s="218"/>
      <c r="IJ189" s="218"/>
      <c r="IK189" s="218"/>
      <c r="IL189" s="218"/>
      <c r="IM189" s="218"/>
      <c r="IN189" s="218"/>
      <c r="IO189" s="218"/>
    </row>
    <row r="190" spans="2:249" s="214" customFormat="1" ht="81" customHeight="1" x14ac:dyDescent="0.25">
      <c r="B190" s="149" t="s">
        <v>76</v>
      </c>
      <c r="C190" s="230" t="s">
        <v>294</v>
      </c>
      <c r="D190" s="151"/>
      <c r="E190" s="152"/>
      <c r="F190" s="152"/>
      <c r="G190" s="152"/>
      <c r="H190" s="231"/>
      <c r="I190" s="152"/>
      <c r="J190" s="152"/>
      <c r="K190" s="152"/>
      <c r="L190" s="152"/>
      <c r="M190" s="152"/>
      <c r="N190" s="231"/>
      <c r="O190" s="152"/>
      <c r="P190" s="152"/>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5"/>
      <c r="AP190" s="153"/>
      <c r="AQ190" s="153"/>
      <c r="AR190" s="153"/>
      <c r="AS190" s="153"/>
      <c r="AT190" s="153"/>
      <c r="AU190" s="153"/>
      <c r="AV190" s="153"/>
      <c r="AW190" s="153"/>
      <c r="AX190" s="153"/>
      <c r="AY190" s="153"/>
      <c r="AZ190" s="153"/>
      <c r="BA190" s="153"/>
      <c r="BB190" s="153"/>
      <c r="BC190" s="153"/>
      <c r="BD190" s="153"/>
      <c r="BE190" s="153"/>
      <c r="BF190" s="153"/>
      <c r="BG190" s="153"/>
      <c r="BH190" s="153"/>
      <c r="BI190" s="153"/>
      <c r="BJ190" s="153"/>
      <c r="BK190" s="156"/>
      <c r="BL190" s="154"/>
      <c r="BM190" s="153"/>
      <c r="BN190" s="153"/>
      <c r="BO190" s="153"/>
      <c r="BP190" s="153"/>
      <c r="BQ190" s="153"/>
      <c r="BR190" s="153"/>
      <c r="BS190" s="153"/>
      <c r="BT190" s="153"/>
      <c r="BU190" s="153"/>
      <c r="BV190" s="153"/>
      <c r="BW190" s="153"/>
      <c r="BX190" s="153"/>
      <c r="BY190" s="153"/>
      <c r="BZ190" s="153"/>
      <c r="CA190" s="153"/>
      <c r="CB190" s="153"/>
      <c r="CC190" s="153"/>
      <c r="CD190" s="153"/>
      <c r="CE190" s="154"/>
      <c r="CF190" s="154"/>
      <c r="CG190" s="153"/>
      <c r="CH190" s="153"/>
      <c r="CI190" s="153"/>
      <c r="CJ190" s="153"/>
      <c r="CK190" s="153"/>
      <c r="CL190" s="153"/>
      <c r="CM190" s="153"/>
      <c r="CN190" s="153"/>
      <c r="CO190" s="153"/>
      <c r="CP190" s="153"/>
      <c r="CQ190" s="153"/>
      <c r="CR190" s="153"/>
      <c r="CS190" s="153"/>
      <c r="CT190" s="153"/>
      <c r="CU190" s="153"/>
      <c r="CV190" s="153"/>
      <c r="CW190" s="153" t="e">
        <f>CX190</f>
        <v>#REF!</v>
      </c>
      <c r="CX190" s="153" t="e">
        <f t="shared" ref="CX190:EL190" si="429">CX191+CX197+CX203</f>
        <v>#REF!</v>
      </c>
      <c r="CY190" s="153">
        <f t="shared" si="429"/>
        <v>0</v>
      </c>
      <c r="CZ190" s="153">
        <f t="shared" si="429"/>
        <v>545601.30000000005</v>
      </c>
      <c r="DA190" s="153">
        <f t="shared" si="429"/>
        <v>545601.30000000005</v>
      </c>
      <c r="DB190" s="153">
        <f t="shared" si="429"/>
        <v>0</v>
      </c>
      <c r="DC190" s="153">
        <f t="shared" si="429"/>
        <v>166307.16456999999</v>
      </c>
      <c r="DD190" s="153">
        <f t="shared" si="429"/>
        <v>166307.16456999999</v>
      </c>
      <c r="DE190" s="153">
        <f t="shared" si="429"/>
        <v>0</v>
      </c>
      <c r="DF190" s="153" t="e">
        <f t="shared" si="429"/>
        <v>#REF!</v>
      </c>
      <c r="DG190" s="153" t="e">
        <f t="shared" si="429"/>
        <v>#REF!</v>
      </c>
      <c r="DH190" s="153">
        <f t="shared" si="429"/>
        <v>0</v>
      </c>
      <c r="DI190" s="153" t="e">
        <f t="shared" si="429"/>
        <v>#REF!</v>
      </c>
      <c r="DJ190" s="153" t="e">
        <f t="shared" si="429"/>
        <v>#REF!</v>
      </c>
      <c r="DK190" s="153">
        <f t="shared" si="429"/>
        <v>0</v>
      </c>
      <c r="DL190" s="153">
        <f t="shared" si="429"/>
        <v>718811.42307000002</v>
      </c>
      <c r="DM190" s="153">
        <f t="shared" si="429"/>
        <v>718811.42307000002</v>
      </c>
      <c r="DN190" s="153">
        <f t="shared" si="429"/>
        <v>0</v>
      </c>
      <c r="DO190" s="153">
        <f t="shared" si="429"/>
        <v>-58063.884180000001</v>
      </c>
      <c r="DP190" s="153">
        <f t="shared" si="429"/>
        <v>-58063.884180000001</v>
      </c>
      <c r="DQ190" s="153">
        <f t="shared" si="429"/>
        <v>0</v>
      </c>
      <c r="DR190" s="153">
        <f t="shared" si="429"/>
        <v>-660747.53888999997</v>
      </c>
      <c r="DS190" s="153">
        <f t="shared" si="429"/>
        <v>-660747.53888999997</v>
      </c>
      <c r="DT190" s="153">
        <f t="shared" si="429"/>
        <v>0</v>
      </c>
      <c r="DU190" s="153">
        <f t="shared" si="429"/>
        <v>0</v>
      </c>
      <c r="DV190" s="153">
        <f t="shared" si="429"/>
        <v>0</v>
      </c>
      <c r="DW190" s="153">
        <f t="shared" si="429"/>
        <v>0</v>
      </c>
      <c r="DX190" s="153">
        <f t="shared" si="429"/>
        <v>702541.68420000002</v>
      </c>
      <c r="DY190" s="153">
        <f t="shared" si="429"/>
        <v>702541.68420000002</v>
      </c>
      <c r="DZ190" s="153">
        <f t="shared" si="429"/>
        <v>0</v>
      </c>
      <c r="EA190" s="153">
        <f t="shared" si="429"/>
        <v>363493.84052999999</v>
      </c>
      <c r="EB190" s="153">
        <f t="shared" si="429"/>
        <v>363493.84052999999</v>
      </c>
      <c r="EC190" s="153">
        <f t="shared" si="429"/>
        <v>0</v>
      </c>
      <c r="ED190" s="153">
        <f t="shared" si="429"/>
        <v>290541.68420000002</v>
      </c>
      <c r="EE190" s="153">
        <f t="shared" si="429"/>
        <v>290541.68420000002</v>
      </c>
      <c r="EF190" s="153">
        <f t="shared" si="429"/>
        <v>0</v>
      </c>
      <c r="EG190" s="153">
        <f t="shared" si="429"/>
        <v>290541.68420000002</v>
      </c>
      <c r="EH190" s="153">
        <f t="shared" si="429"/>
        <v>290541.68420000002</v>
      </c>
      <c r="EI190" s="153">
        <f t="shared" si="429"/>
        <v>0</v>
      </c>
      <c r="EJ190" s="153">
        <f t="shared" si="429"/>
        <v>0</v>
      </c>
      <c r="EK190" s="153">
        <f t="shared" si="429"/>
        <v>-13120.291999999999</v>
      </c>
      <c r="EL190" s="153">
        <f t="shared" si="429"/>
        <v>-13120.291999999999</v>
      </c>
      <c r="EM190" s="153"/>
      <c r="EN190" s="153">
        <f>EN191+EN197+EN203</f>
        <v>0</v>
      </c>
      <c r="EO190" s="153">
        <f>EO191+EO197+EO203</f>
        <v>0</v>
      </c>
      <c r="EP190" s="153">
        <f>EP191+EP197+EP203</f>
        <v>0</v>
      </c>
      <c r="EQ190" s="153"/>
      <c r="ER190" s="153">
        <f>ER191+ER197+ER203</f>
        <v>0</v>
      </c>
      <c r="ES190" s="153">
        <f>ES191+ES197+ES203</f>
        <v>0</v>
      </c>
      <c r="ET190" s="153">
        <f>ET191+ET197+ET203</f>
        <v>0</v>
      </c>
      <c r="EU190" s="153"/>
      <c r="EV190" s="153">
        <f t="shared" ref="EV190:FH190" si="430">EV191+EV197+EV203</f>
        <v>0</v>
      </c>
      <c r="EW190" s="153">
        <f t="shared" si="430"/>
        <v>0</v>
      </c>
      <c r="EX190" s="153">
        <f t="shared" si="430"/>
        <v>0</v>
      </c>
      <c r="EY190" s="153">
        <f t="shared" si="430"/>
        <v>0</v>
      </c>
      <c r="EZ190" s="153" t="e">
        <f t="shared" si="430"/>
        <v>#REF!</v>
      </c>
      <c r="FA190" s="153" t="e">
        <f t="shared" si="430"/>
        <v>#REF!</v>
      </c>
      <c r="FB190" s="153">
        <f t="shared" si="430"/>
        <v>0</v>
      </c>
      <c r="FC190" s="152">
        <f t="shared" si="430"/>
        <v>293986.49067000003</v>
      </c>
      <c r="FD190" s="152">
        <f t="shared" si="430"/>
        <v>293986.49067000003</v>
      </c>
      <c r="FE190" s="152">
        <f t="shared" si="430"/>
        <v>0</v>
      </c>
      <c r="FF190" s="152">
        <f t="shared" si="430"/>
        <v>0</v>
      </c>
      <c r="FG190" s="152" t="e">
        <f t="shared" si="430"/>
        <v>#REF!</v>
      </c>
      <c r="FH190" s="152" t="e">
        <f t="shared" si="430"/>
        <v>#REF!</v>
      </c>
      <c r="FI190" s="152"/>
      <c r="FJ190" s="152">
        <f>FJ191+FJ197+FJ203</f>
        <v>0</v>
      </c>
      <c r="FK190" s="152">
        <f>FK191+FK197+FK203</f>
        <v>0</v>
      </c>
      <c r="FL190" s="152">
        <f>FL191+FL197+FL203</f>
        <v>0</v>
      </c>
      <c r="FM190" s="152"/>
      <c r="FN190" s="152">
        <f>FN191+FN197+FN203</f>
        <v>0</v>
      </c>
      <c r="FO190" s="152">
        <f>FO191+FO197+FO203</f>
        <v>290541.68420000002</v>
      </c>
      <c r="FP190" s="152">
        <f>FP191+FP197+FP203</f>
        <v>290541.68420000002</v>
      </c>
      <c r="FQ190" s="152">
        <f>FQ191+FQ197+FQ203</f>
        <v>0</v>
      </c>
      <c r="FR190" s="152">
        <f>FR191+FR197+FR203</f>
        <v>0</v>
      </c>
      <c r="FS190" s="39">
        <f t="shared" si="338"/>
        <v>69352.953829999999</v>
      </c>
      <c r="FT190" s="485">
        <f t="shared" si="355"/>
        <v>0.23590524065219282</v>
      </c>
      <c r="FU190" s="152">
        <f>FU191+FU197+FU203</f>
        <v>69352.953829999999</v>
      </c>
      <c r="FV190" s="485">
        <f t="shared" si="356"/>
        <v>0.23590524065219282</v>
      </c>
      <c r="FW190" s="38">
        <f t="shared" si="357"/>
        <v>0</v>
      </c>
      <c r="FX190" s="660">
        <v>0</v>
      </c>
      <c r="FY190" s="152">
        <f t="shared" si="359"/>
        <v>0</v>
      </c>
      <c r="FZ190" s="660">
        <v>0</v>
      </c>
      <c r="GA190" s="152">
        <f t="shared" si="361"/>
        <v>69352.953829999999</v>
      </c>
      <c r="GB190" s="485">
        <f t="shared" si="362"/>
        <v>0.23590524065219282</v>
      </c>
      <c r="GC190" s="152">
        <f>GC191+GC197+GC203</f>
        <v>69352.953829999999</v>
      </c>
      <c r="GD190" s="485">
        <f t="shared" si="376"/>
        <v>0.23590524065219282</v>
      </c>
      <c r="GE190" s="82"/>
      <c r="GF190" s="498"/>
      <c r="GG190" s="82">
        <f t="shared" si="363"/>
        <v>0</v>
      </c>
      <c r="GH190" s="498">
        <v>0</v>
      </c>
      <c r="GI190" s="152">
        <f t="shared" si="365"/>
        <v>293334.31233000004</v>
      </c>
      <c r="GJ190" s="485">
        <f t="shared" si="366"/>
        <v>0.99778160439102603</v>
      </c>
      <c r="GK190" s="152">
        <f>GK191+GK197+GK203</f>
        <v>293334.31233000004</v>
      </c>
      <c r="GL190" s="485">
        <f t="shared" si="368"/>
        <v>0.99778160439102603</v>
      </c>
      <c r="GM190" s="152">
        <f t="shared" si="369"/>
        <v>0</v>
      </c>
      <c r="GN190" s="485">
        <v>0</v>
      </c>
      <c r="GO190" s="152">
        <f t="shared" si="371"/>
        <v>0</v>
      </c>
      <c r="GP190" s="485">
        <v>0</v>
      </c>
      <c r="GQ190" s="308"/>
      <c r="GR190" s="308"/>
      <c r="GS190" s="308"/>
      <c r="GT190" s="308"/>
      <c r="GU190" s="153">
        <f>GU191+GU197+GU203</f>
        <v>8189.6653699999997</v>
      </c>
      <c r="GV190" s="153">
        <f>GV191+GV197</f>
        <v>8189.6653699999997</v>
      </c>
      <c r="GW190" s="153"/>
      <c r="GX190" s="144"/>
      <c r="GY190" s="144"/>
      <c r="GZ190" s="144"/>
      <c r="HA190" s="144"/>
      <c r="HB190" s="144"/>
      <c r="HC190" s="144"/>
      <c r="HD190" s="144"/>
      <c r="HE190" s="144"/>
      <c r="HF190" s="144"/>
      <c r="HG190" s="153">
        <f>HG191+HG197+HG203</f>
        <v>0</v>
      </c>
      <c r="HH190" s="153">
        <f>HH191+HH197</f>
        <v>0</v>
      </c>
      <c r="HI190" s="153"/>
      <c r="HJ190" s="144"/>
      <c r="HK190" s="153">
        <f>HK191+HK197+HK203</f>
        <v>0</v>
      </c>
      <c r="HL190" s="153">
        <f>HL191+HL197</f>
        <v>0</v>
      </c>
      <c r="HM190" s="153"/>
      <c r="HN190" s="144"/>
      <c r="HO190" s="153">
        <f>HO191+HO197+HO203</f>
        <v>8189.6653699999997</v>
      </c>
      <c r="HP190" s="153">
        <f>HP191+HP197</f>
        <v>8189.6653699999997</v>
      </c>
      <c r="HQ190" s="153"/>
      <c r="HR190" s="144"/>
      <c r="HS190" s="153">
        <f>HS191+HS197+HS203</f>
        <v>0</v>
      </c>
      <c r="HT190" s="153">
        <f>HT191+HT197</f>
        <v>0</v>
      </c>
      <c r="HU190" s="153"/>
      <c r="HV190" s="144"/>
      <c r="HW190" s="153">
        <f>HW191+HW197+HW203</f>
        <v>0</v>
      </c>
      <c r="HX190" s="153">
        <f>HX191+HX197</f>
        <v>0</v>
      </c>
      <c r="HY190" s="153"/>
      <c r="HZ190" s="144"/>
      <c r="IA190" s="153">
        <f>IA191+IA197+IA203</f>
        <v>0</v>
      </c>
      <c r="IB190" s="153">
        <f>IB191+IB197</f>
        <v>0</v>
      </c>
      <c r="IC190" s="153"/>
      <c r="ID190" s="144"/>
      <c r="IE190" s="216"/>
      <c r="IF190" s="141"/>
      <c r="IG190" s="141"/>
      <c r="IH190" s="141"/>
      <c r="II190" s="202"/>
      <c r="IJ190" s="202"/>
      <c r="IK190" s="202"/>
      <c r="IL190" s="202"/>
      <c r="IM190" s="202"/>
      <c r="IN190" s="202"/>
      <c r="IO190" s="202"/>
    </row>
    <row r="191" spans="2:249" s="214" customFormat="1" ht="137.25" customHeight="1" x14ac:dyDescent="0.25">
      <c r="B191" s="100" t="s">
        <v>295</v>
      </c>
      <c r="C191" s="176" t="s">
        <v>296</v>
      </c>
      <c r="D191" s="102"/>
      <c r="E191" s="103"/>
      <c r="F191" s="103"/>
      <c r="G191" s="103"/>
      <c r="H191" s="103"/>
      <c r="I191" s="103"/>
      <c r="J191" s="103"/>
      <c r="K191" s="103"/>
      <c r="L191" s="103"/>
      <c r="M191" s="103"/>
      <c r="N191" s="103"/>
      <c r="O191" s="103"/>
      <c r="P191" s="103"/>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9"/>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10"/>
      <c r="BL191" s="106"/>
      <c r="BM191" s="105"/>
      <c r="BN191" s="105"/>
      <c r="BO191" s="105"/>
      <c r="BP191" s="105"/>
      <c r="BQ191" s="105"/>
      <c r="BR191" s="105"/>
      <c r="BS191" s="105"/>
      <c r="BT191" s="105"/>
      <c r="BU191" s="105"/>
      <c r="BV191" s="105"/>
      <c r="BW191" s="105"/>
      <c r="BX191" s="105"/>
      <c r="BY191" s="105"/>
      <c r="BZ191" s="105"/>
      <c r="CA191" s="105"/>
      <c r="CB191" s="105"/>
      <c r="CC191" s="105"/>
      <c r="CD191" s="105"/>
      <c r="CE191" s="106"/>
      <c r="CF191" s="106"/>
      <c r="CG191" s="105"/>
      <c r="CH191" s="105"/>
      <c r="CI191" s="105"/>
      <c r="CJ191" s="105"/>
      <c r="CK191" s="105"/>
      <c r="CL191" s="105"/>
      <c r="CM191" s="105"/>
      <c r="CN191" s="105"/>
      <c r="CO191" s="105"/>
      <c r="CP191" s="105"/>
      <c r="CQ191" s="105"/>
      <c r="CR191" s="105"/>
      <c r="CS191" s="105"/>
      <c r="CT191" s="105"/>
      <c r="CU191" s="105"/>
      <c r="CV191" s="105"/>
      <c r="CW191" s="105" t="e">
        <f>CX191+CY191</f>
        <v>#REF!</v>
      </c>
      <c r="CX191" s="105" t="e">
        <f>CX193+CX194+#REF!+CX195</f>
        <v>#REF!</v>
      </c>
      <c r="CY191" s="105">
        <f t="shared" ref="CY191:DE191" si="431">CY51</f>
        <v>0</v>
      </c>
      <c r="CZ191" s="105">
        <f t="shared" si="431"/>
        <v>287140</v>
      </c>
      <c r="DA191" s="105">
        <f t="shared" si="431"/>
        <v>287140</v>
      </c>
      <c r="DB191" s="105">
        <f t="shared" si="431"/>
        <v>0</v>
      </c>
      <c r="DC191" s="105">
        <f t="shared" si="431"/>
        <v>0</v>
      </c>
      <c r="DD191" s="105">
        <f t="shared" si="431"/>
        <v>0</v>
      </c>
      <c r="DE191" s="105">
        <f t="shared" si="431"/>
        <v>0</v>
      </c>
      <c r="DF191" s="105" t="e">
        <f>DG191+DH191</f>
        <v>#REF!</v>
      </c>
      <c r="DG191" s="105" t="e">
        <f>DG193+DG194+#REF!+DG195</f>
        <v>#REF!</v>
      </c>
      <c r="DH191" s="105">
        <f>DH51</f>
        <v>0</v>
      </c>
      <c r="DI191" s="105" t="e">
        <f>DJ191+DK191</f>
        <v>#REF!</v>
      </c>
      <c r="DJ191" s="105" t="e">
        <f>DJ193+DJ194+#REF!+DJ195</f>
        <v>#REF!</v>
      </c>
      <c r="DK191" s="105">
        <f t="shared" ref="DK191:DT191" si="432">DK51</f>
        <v>0</v>
      </c>
      <c r="DL191" s="105">
        <f t="shared" si="432"/>
        <v>215282.01291000002</v>
      </c>
      <c r="DM191" s="105">
        <f t="shared" si="432"/>
        <v>215282.01291000002</v>
      </c>
      <c r="DN191" s="105">
        <f t="shared" si="432"/>
        <v>0</v>
      </c>
      <c r="DO191" s="105">
        <f t="shared" si="432"/>
        <v>4746.4650799999999</v>
      </c>
      <c r="DP191" s="105">
        <f t="shared" si="432"/>
        <v>4746.4650799999999</v>
      </c>
      <c r="DQ191" s="105">
        <f t="shared" si="432"/>
        <v>0</v>
      </c>
      <c r="DR191" s="105">
        <f t="shared" si="432"/>
        <v>-220028.47798999998</v>
      </c>
      <c r="DS191" s="105">
        <f t="shared" si="432"/>
        <v>-220028.47798999998</v>
      </c>
      <c r="DT191" s="105">
        <f t="shared" si="432"/>
        <v>0</v>
      </c>
      <c r="DU191" s="105">
        <f>DV191</f>
        <v>0</v>
      </c>
      <c r="DV191" s="105">
        <f>DV193+DV194</f>
        <v>0</v>
      </c>
      <c r="DW191" s="105">
        <f t="shared" ref="DW191:EC191" si="433">DW51</f>
        <v>0</v>
      </c>
      <c r="DX191" s="105">
        <f t="shared" si="433"/>
        <v>690541.68420000002</v>
      </c>
      <c r="DY191" s="105">
        <f t="shared" si="433"/>
        <v>690541.68420000002</v>
      </c>
      <c r="DZ191" s="105">
        <f t="shared" si="433"/>
        <v>0</v>
      </c>
      <c r="EA191" s="105">
        <f t="shared" si="433"/>
        <v>0</v>
      </c>
      <c r="EB191" s="105">
        <f t="shared" si="433"/>
        <v>0</v>
      </c>
      <c r="EC191" s="105">
        <f t="shared" si="433"/>
        <v>0</v>
      </c>
      <c r="ED191" s="105">
        <f>EE191</f>
        <v>290541.68420000002</v>
      </c>
      <c r="EE191" s="105">
        <f>EE193+EE194</f>
        <v>290541.68420000002</v>
      </c>
      <c r="EF191" s="105">
        <f>EF51</f>
        <v>0</v>
      </c>
      <c r="EG191" s="105">
        <f>EH191</f>
        <v>290541.68420000002</v>
      </c>
      <c r="EH191" s="105">
        <f>EH192+EH196</f>
        <v>290541.68420000002</v>
      </c>
      <c r="EI191" s="105"/>
      <c r="EJ191" s="105"/>
      <c r="EK191" s="105">
        <f>EL191</f>
        <v>-13120.291999999999</v>
      </c>
      <c r="EL191" s="105">
        <f>EL192+EL196</f>
        <v>-13120.291999999999</v>
      </c>
      <c r="EM191" s="105"/>
      <c r="EN191" s="105">
        <f>EN51</f>
        <v>0</v>
      </c>
      <c r="EO191" s="105">
        <f>EO51</f>
        <v>0</v>
      </c>
      <c r="EP191" s="105">
        <f>EP51</f>
        <v>0</v>
      </c>
      <c r="EQ191" s="105"/>
      <c r="ER191" s="105">
        <f>ER51</f>
        <v>0</v>
      </c>
      <c r="ES191" s="105">
        <f>ET191</f>
        <v>0</v>
      </c>
      <c r="ET191" s="105">
        <f>ET192+ET196</f>
        <v>0</v>
      </c>
      <c r="EU191" s="105"/>
      <c r="EV191" s="105">
        <f>EV51</f>
        <v>0</v>
      </c>
      <c r="EW191" s="105">
        <f>EX191</f>
        <v>0</v>
      </c>
      <c r="EX191" s="105">
        <f>EX193+EX194</f>
        <v>0</v>
      </c>
      <c r="EY191" s="105">
        <f>EY51</f>
        <v>0</v>
      </c>
      <c r="EZ191" s="105" t="e">
        <f>FA191</f>
        <v>#REF!</v>
      </c>
      <c r="FA191" s="105" t="e">
        <f>FA193+FA194</f>
        <v>#REF!</v>
      </c>
      <c r="FB191" s="105">
        <f>FB51</f>
        <v>0</v>
      </c>
      <c r="FC191" s="103">
        <f>FD191</f>
        <v>293986.49067000003</v>
      </c>
      <c r="FD191" s="103">
        <f>FD192+FD196</f>
        <v>293986.49067000003</v>
      </c>
      <c r="FE191" s="103"/>
      <c r="FF191" s="103"/>
      <c r="FG191" s="103" t="e">
        <f>FH191</f>
        <v>#REF!</v>
      </c>
      <c r="FH191" s="103" t="e">
        <f>FH192+FH196</f>
        <v>#REF!</v>
      </c>
      <c r="FI191" s="103"/>
      <c r="FJ191" s="103">
        <f>FJ51</f>
        <v>0</v>
      </c>
      <c r="FK191" s="103">
        <f>FK51</f>
        <v>0</v>
      </c>
      <c r="FL191" s="103">
        <f>FL51</f>
        <v>0</v>
      </c>
      <c r="FM191" s="103"/>
      <c r="FN191" s="103">
        <f>FN51</f>
        <v>0</v>
      </c>
      <c r="FO191" s="103">
        <f>FP191</f>
        <v>290541.68420000002</v>
      </c>
      <c r="FP191" s="103">
        <f>FP192+FP196</f>
        <v>290541.68420000002</v>
      </c>
      <c r="FQ191" s="103"/>
      <c r="FR191" s="103"/>
      <c r="FS191" s="629">
        <f t="shared" si="338"/>
        <v>69352.953829999999</v>
      </c>
      <c r="FT191" s="595">
        <f t="shared" si="355"/>
        <v>0.23590524065219282</v>
      </c>
      <c r="FU191" s="629">
        <f>FU192</f>
        <v>69352.953829999999</v>
      </c>
      <c r="FV191" s="595">
        <f t="shared" si="356"/>
        <v>0.23590524065219282</v>
      </c>
      <c r="FW191" s="522">
        <f t="shared" si="357"/>
        <v>0</v>
      </c>
      <c r="FX191" s="666">
        <v>0</v>
      </c>
      <c r="FY191" s="629">
        <f t="shared" si="359"/>
        <v>0</v>
      </c>
      <c r="FZ191" s="666">
        <v>0</v>
      </c>
      <c r="GA191" s="629">
        <f t="shared" si="361"/>
        <v>69352.953829999999</v>
      </c>
      <c r="GB191" s="595">
        <f t="shared" si="362"/>
        <v>0.23590524065219282</v>
      </c>
      <c r="GC191" s="629">
        <f>GC192+GC196</f>
        <v>69352.953829999999</v>
      </c>
      <c r="GD191" s="595">
        <f t="shared" si="376"/>
        <v>0.23590524065219282</v>
      </c>
      <c r="GE191" s="522"/>
      <c r="GF191" s="514"/>
      <c r="GG191" s="522">
        <f t="shared" si="363"/>
        <v>0</v>
      </c>
      <c r="GH191" s="514">
        <v>0</v>
      </c>
      <c r="GI191" s="629">
        <f t="shared" si="365"/>
        <v>293334.31233000004</v>
      </c>
      <c r="GJ191" s="595">
        <f t="shared" si="366"/>
        <v>0.99778160439102603</v>
      </c>
      <c r="GK191" s="629">
        <f>GK192</f>
        <v>293334.31233000004</v>
      </c>
      <c r="GL191" s="595">
        <f t="shared" si="368"/>
        <v>0.99778160439102603</v>
      </c>
      <c r="GM191" s="629">
        <f t="shared" si="369"/>
        <v>0</v>
      </c>
      <c r="GN191" s="595">
        <v>0</v>
      </c>
      <c r="GO191" s="629">
        <f t="shared" si="371"/>
        <v>0</v>
      </c>
      <c r="GP191" s="595">
        <v>0</v>
      </c>
      <c r="GQ191" s="105"/>
      <c r="GR191" s="105"/>
      <c r="GS191" s="105"/>
      <c r="GT191" s="105"/>
      <c r="GU191" s="105">
        <f>GV191</f>
        <v>8189.6653699999997</v>
      </c>
      <c r="GV191" s="105">
        <f>GV192+GV196</f>
        <v>8189.6653699999997</v>
      </c>
      <c r="GW191" s="105"/>
      <c r="GX191" s="105"/>
      <c r="GY191" s="105"/>
      <c r="GZ191" s="105"/>
      <c r="HA191" s="105"/>
      <c r="HB191" s="105"/>
      <c r="HC191" s="105"/>
      <c r="HD191" s="105"/>
      <c r="HE191" s="105"/>
      <c r="HF191" s="105"/>
      <c r="HG191" s="105">
        <f>HH191</f>
        <v>0</v>
      </c>
      <c r="HH191" s="105">
        <f>HH192+HH196</f>
        <v>0</v>
      </c>
      <c r="HI191" s="105"/>
      <c r="HJ191" s="105"/>
      <c r="HK191" s="105">
        <f>HL191</f>
        <v>0</v>
      </c>
      <c r="HL191" s="105">
        <f>HL193+HL194</f>
        <v>0</v>
      </c>
      <c r="HM191" s="105"/>
      <c r="HN191" s="105"/>
      <c r="HO191" s="105">
        <f>HP191</f>
        <v>8189.6653699999997</v>
      </c>
      <c r="HP191" s="105">
        <f>HP192+HP196</f>
        <v>8189.6653699999997</v>
      </c>
      <c r="HQ191" s="105"/>
      <c r="HR191" s="105"/>
      <c r="HS191" s="105">
        <f>HT191</f>
        <v>0</v>
      </c>
      <c r="HT191" s="105">
        <f>HT192+HT196</f>
        <v>0</v>
      </c>
      <c r="HU191" s="105"/>
      <c r="HV191" s="105"/>
      <c r="HW191" s="105">
        <f>HX191</f>
        <v>0</v>
      </c>
      <c r="HX191" s="105">
        <f>HX193+HX194</f>
        <v>0</v>
      </c>
      <c r="HY191" s="105"/>
      <c r="HZ191" s="105"/>
      <c r="IA191" s="105">
        <f>IB191</f>
        <v>0</v>
      </c>
      <c r="IB191" s="105">
        <f>IB192+IB196</f>
        <v>0</v>
      </c>
      <c r="IC191" s="105"/>
      <c r="ID191" s="105"/>
      <c r="IE191" s="112" t="s">
        <v>297</v>
      </c>
      <c r="IF191" s="141"/>
      <c r="IG191" s="141"/>
      <c r="IH191" s="141"/>
      <c r="II191" s="202"/>
      <c r="IJ191" s="202"/>
      <c r="IK191" s="202"/>
      <c r="IL191" s="202"/>
      <c r="IM191" s="202"/>
      <c r="IN191" s="202"/>
      <c r="IO191" s="202"/>
    </row>
    <row r="192" spans="2:249" s="214" customFormat="1" ht="45.75" customHeight="1" x14ac:dyDescent="0.25">
      <c r="B192" s="100"/>
      <c r="C192" s="101" t="s">
        <v>131</v>
      </c>
      <c r="D192" s="102"/>
      <c r="E192" s="103"/>
      <c r="F192" s="103"/>
      <c r="G192" s="103"/>
      <c r="H192" s="103"/>
      <c r="I192" s="103"/>
      <c r="J192" s="103"/>
      <c r="K192" s="103"/>
      <c r="L192" s="103"/>
      <c r="M192" s="103"/>
      <c r="N192" s="103"/>
      <c r="O192" s="103"/>
      <c r="P192" s="103"/>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9"/>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10"/>
      <c r="BL192" s="106"/>
      <c r="BM192" s="105"/>
      <c r="BN192" s="105"/>
      <c r="BO192" s="105"/>
      <c r="BP192" s="105"/>
      <c r="BQ192" s="105"/>
      <c r="BR192" s="105"/>
      <c r="BS192" s="105"/>
      <c r="BT192" s="105"/>
      <c r="BU192" s="105"/>
      <c r="BV192" s="105"/>
      <c r="BW192" s="105"/>
      <c r="BX192" s="105"/>
      <c r="BY192" s="105"/>
      <c r="BZ192" s="105"/>
      <c r="CA192" s="105"/>
      <c r="CB192" s="105"/>
      <c r="CC192" s="105"/>
      <c r="CD192" s="105"/>
      <c r="CE192" s="106"/>
      <c r="CF192" s="106"/>
      <c r="CG192" s="105"/>
      <c r="CH192" s="105"/>
      <c r="CI192" s="105"/>
      <c r="CJ192" s="105"/>
      <c r="CK192" s="105"/>
      <c r="CL192" s="105"/>
      <c r="CM192" s="105"/>
      <c r="CN192" s="105"/>
      <c r="CO192" s="105"/>
      <c r="CP192" s="105"/>
      <c r="CQ192" s="105"/>
      <c r="CR192" s="105"/>
      <c r="CS192" s="105"/>
      <c r="CT192" s="105"/>
      <c r="CU192" s="105"/>
      <c r="CV192" s="105"/>
      <c r="CW192" s="105"/>
      <c r="CX192" s="105"/>
      <c r="CY192" s="105"/>
      <c r="CZ192" s="105"/>
      <c r="DA192" s="105"/>
      <c r="DB192" s="105"/>
      <c r="DC192" s="105"/>
      <c r="DD192" s="105"/>
      <c r="DE192" s="105"/>
      <c r="DF192" s="105"/>
      <c r="DG192" s="105"/>
      <c r="DH192" s="105"/>
      <c r="DI192" s="105"/>
      <c r="DJ192" s="105"/>
      <c r="DK192" s="105"/>
      <c r="DL192" s="105"/>
      <c r="DM192" s="105"/>
      <c r="DN192" s="105"/>
      <c r="DO192" s="105"/>
      <c r="DP192" s="105"/>
      <c r="DQ192" s="105"/>
      <c r="DR192" s="105"/>
      <c r="DS192" s="105"/>
      <c r="DT192" s="105"/>
      <c r="DU192" s="105"/>
      <c r="DV192" s="105"/>
      <c r="DW192" s="105"/>
      <c r="DX192" s="105"/>
      <c r="DY192" s="105"/>
      <c r="DZ192" s="105"/>
      <c r="EA192" s="105"/>
      <c r="EB192" s="105"/>
      <c r="EC192" s="105"/>
      <c r="ED192" s="105"/>
      <c r="EE192" s="105"/>
      <c r="EF192" s="105"/>
      <c r="EG192" s="105">
        <f>EH192</f>
        <v>290541.68420000002</v>
      </c>
      <c r="EH192" s="105">
        <f>EH193+EH194</f>
        <v>290541.68420000002</v>
      </c>
      <c r="EI192" s="105"/>
      <c r="EJ192" s="105"/>
      <c r="EK192" s="105">
        <f>EL192</f>
        <v>-13120.291999999999</v>
      </c>
      <c r="EL192" s="105">
        <f>SUM(EL193:EL195)</f>
        <v>-13120.291999999999</v>
      </c>
      <c r="EM192" s="105"/>
      <c r="EN192" s="105"/>
      <c r="EO192" s="105"/>
      <c r="EP192" s="105"/>
      <c r="EQ192" s="105"/>
      <c r="ER192" s="105"/>
      <c r="ES192" s="105">
        <f>SUM(ES193:ES195)</f>
        <v>0</v>
      </c>
      <c r="ET192" s="105">
        <f>SUM(ET193:ET195)</f>
        <v>0</v>
      </c>
      <c r="EU192" s="105"/>
      <c r="EV192" s="105"/>
      <c r="EW192" s="105"/>
      <c r="EX192" s="105"/>
      <c r="EY192" s="105"/>
      <c r="EZ192" s="105"/>
      <c r="FA192" s="105"/>
      <c r="FB192" s="105"/>
      <c r="FC192" s="103">
        <f>FD192</f>
        <v>293986.49067000003</v>
      </c>
      <c r="FD192" s="103">
        <f>SUM(FD193:FD195)</f>
        <v>293986.49067000003</v>
      </c>
      <c r="FE192" s="103"/>
      <c r="FF192" s="103"/>
      <c r="FG192" s="103" t="e">
        <f>FH192</f>
        <v>#REF!</v>
      </c>
      <c r="FH192" s="103" t="e">
        <f>FH193+FH194+#REF!+FH195</f>
        <v>#REF!</v>
      </c>
      <c r="FI192" s="103"/>
      <c r="FJ192" s="103"/>
      <c r="FK192" s="103"/>
      <c r="FL192" s="103"/>
      <c r="FM192" s="103"/>
      <c r="FN192" s="103"/>
      <c r="FO192" s="103">
        <f>FP192</f>
        <v>290541.68420000002</v>
      </c>
      <c r="FP192" s="103">
        <f>FP193+FP194</f>
        <v>290541.68420000002</v>
      </c>
      <c r="FQ192" s="103"/>
      <c r="FR192" s="103"/>
      <c r="FS192" s="629">
        <f t="shared" si="338"/>
        <v>69352.953829999999</v>
      </c>
      <c r="FT192" s="595">
        <f t="shared" si="355"/>
        <v>0.23590524065219282</v>
      </c>
      <c r="FU192" s="629">
        <f>FU193+FU194+FU195</f>
        <v>69352.953829999999</v>
      </c>
      <c r="FV192" s="595">
        <f t="shared" si="356"/>
        <v>0.23590524065219282</v>
      </c>
      <c r="FW192" s="522"/>
      <c r="FX192" s="666"/>
      <c r="FY192" s="629"/>
      <c r="FZ192" s="666"/>
      <c r="GA192" s="629">
        <f t="shared" si="361"/>
        <v>69352.953829999999</v>
      </c>
      <c r="GB192" s="595">
        <f t="shared" si="362"/>
        <v>0.23590524065219282</v>
      </c>
      <c r="GC192" s="629">
        <f>GC193+GC194+GC195</f>
        <v>69352.953829999999</v>
      </c>
      <c r="GD192" s="595">
        <f t="shared" si="376"/>
        <v>0.23590524065219282</v>
      </c>
      <c r="GE192" s="522"/>
      <c r="GF192" s="514"/>
      <c r="GG192" s="522"/>
      <c r="GH192" s="514"/>
      <c r="GI192" s="629">
        <f t="shared" si="365"/>
        <v>293334.31233000004</v>
      </c>
      <c r="GJ192" s="595">
        <f t="shared" si="366"/>
        <v>0.99778160439102603</v>
      </c>
      <c r="GK192" s="629">
        <f>GK193+GK194+GK195</f>
        <v>293334.31233000004</v>
      </c>
      <c r="GL192" s="595">
        <f t="shared" si="368"/>
        <v>0.99778160439102603</v>
      </c>
      <c r="GM192" s="629">
        <f t="shared" si="369"/>
        <v>0</v>
      </c>
      <c r="GN192" s="595">
        <v>0</v>
      </c>
      <c r="GO192" s="629">
        <f t="shared" si="371"/>
        <v>0</v>
      </c>
      <c r="GP192" s="595">
        <v>0</v>
      </c>
      <c r="GQ192" s="105"/>
      <c r="GR192" s="105"/>
      <c r="GS192" s="105"/>
      <c r="GT192" s="105"/>
      <c r="GU192" s="105">
        <f>GV192</f>
        <v>8189.6653699999997</v>
      </c>
      <c r="GV192" s="105">
        <f>SUM(GV193:GV195)</f>
        <v>8189.6653699999997</v>
      </c>
      <c r="GW192" s="105"/>
      <c r="GX192" s="105"/>
      <c r="GY192" s="105"/>
      <c r="GZ192" s="105"/>
      <c r="HA192" s="105"/>
      <c r="HB192" s="105"/>
      <c r="HC192" s="105"/>
      <c r="HD192" s="105"/>
      <c r="HE192" s="105"/>
      <c r="HF192" s="105"/>
      <c r="HG192" s="105">
        <f>HH192</f>
        <v>0</v>
      </c>
      <c r="HH192" s="105">
        <f>HH193+HH194</f>
        <v>0</v>
      </c>
      <c r="HI192" s="105"/>
      <c r="HJ192" s="105"/>
      <c r="HK192" s="105"/>
      <c r="HL192" s="105"/>
      <c r="HM192" s="105"/>
      <c r="HN192" s="105"/>
      <c r="HO192" s="105">
        <f>HP192</f>
        <v>8189.6653699999997</v>
      </c>
      <c r="HP192" s="105">
        <f>SUM(HP193:HP195)</f>
        <v>8189.6653699999997</v>
      </c>
      <c r="HQ192" s="105"/>
      <c r="HR192" s="105"/>
      <c r="HS192" s="105">
        <f>HT192</f>
        <v>0</v>
      </c>
      <c r="HT192" s="105">
        <f>HT193+HT194</f>
        <v>0</v>
      </c>
      <c r="HU192" s="105"/>
      <c r="HV192" s="105"/>
      <c r="HW192" s="105"/>
      <c r="HX192" s="105"/>
      <c r="HY192" s="105"/>
      <c r="HZ192" s="105"/>
      <c r="IA192" s="105">
        <f>IB192</f>
        <v>0</v>
      </c>
      <c r="IB192" s="105">
        <f>IB193+IB194</f>
        <v>0</v>
      </c>
      <c r="IC192" s="105"/>
      <c r="ID192" s="105"/>
      <c r="IE192" s="198"/>
      <c r="IF192" s="141"/>
      <c r="IG192" s="141"/>
      <c r="IH192" s="141"/>
      <c r="II192" s="202"/>
      <c r="IJ192" s="202"/>
      <c r="IK192" s="202"/>
      <c r="IL192" s="202"/>
      <c r="IM192" s="202"/>
      <c r="IN192" s="202"/>
      <c r="IO192" s="202"/>
    </row>
    <row r="193" spans="2:249" s="554" customFormat="1" ht="36" hidden="1" customHeight="1" x14ac:dyDescent="0.2">
      <c r="B193" s="186"/>
      <c r="C193" s="161" t="s">
        <v>146</v>
      </c>
      <c r="D193" s="222"/>
      <c r="E193" s="143"/>
      <c r="F193" s="143"/>
      <c r="G193" s="143"/>
      <c r="H193" s="143"/>
      <c r="I193" s="143"/>
      <c r="J193" s="143"/>
      <c r="K193" s="143"/>
      <c r="L193" s="143"/>
      <c r="M193" s="143"/>
      <c r="N193" s="143"/>
      <c r="O193" s="143"/>
      <c r="P193" s="143"/>
      <c r="Q193" s="144"/>
      <c r="R193" s="144"/>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66"/>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67"/>
      <c r="BL193" s="168"/>
      <c r="BM193" s="144"/>
      <c r="BN193" s="144"/>
      <c r="BO193" s="144"/>
      <c r="BP193" s="144"/>
      <c r="BQ193" s="144"/>
      <c r="BR193" s="144"/>
      <c r="BS193" s="144"/>
      <c r="BT193" s="144"/>
      <c r="BU193" s="144"/>
      <c r="BV193" s="144"/>
      <c r="BW193" s="144"/>
      <c r="BX193" s="144"/>
      <c r="BY193" s="144"/>
      <c r="BZ193" s="144"/>
      <c r="CA193" s="144"/>
      <c r="CB193" s="144"/>
      <c r="CC193" s="144"/>
      <c r="CD193" s="144"/>
      <c r="CE193" s="168"/>
      <c r="CF193" s="168"/>
      <c r="CG193" s="144"/>
      <c r="CH193" s="144"/>
      <c r="CI193" s="144"/>
      <c r="CJ193" s="144"/>
      <c r="CK193" s="144"/>
      <c r="CL193" s="144"/>
      <c r="CM193" s="144"/>
      <c r="CN193" s="144"/>
      <c r="CO193" s="144"/>
      <c r="CP193" s="144"/>
      <c r="CQ193" s="144"/>
      <c r="CR193" s="144"/>
      <c r="CS193" s="144"/>
      <c r="CT193" s="144"/>
      <c r="CU193" s="144"/>
      <c r="CV193" s="144"/>
      <c r="CW193" s="144">
        <f>CX193+CY193</f>
        <v>0</v>
      </c>
      <c r="CX193" s="144">
        <v>0</v>
      </c>
      <c r="CY193" s="144"/>
      <c r="CZ193" s="144"/>
      <c r="DA193" s="144"/>
      <c r="DB193" s="144"/>
      <c r="DC193" s="144"/>
      <c r="DD193" s="144"/>
      <c r="DE193" s="144"/>
      <c r="DF193" s="144">
        <f>DG193+DH193</f>
        <v>186527.88729000001</v>
      </c>
      <c r="DG193" s="144">
        <f>DJ193-CX193</f>
        <v>186527.88729000001</v>
      </c>
      <c r="DH193" s="144"/>
      <c r="DI193" s="144">
        <f>DJ193+DK193</f>
        <v>186527.88729000001</v>
      </c>
      <c r="DJ193" s="144">
        <f>CX53</f>
        <v>186527.88729000001</v>
      </c>
      <c r="DK193" s="144"/>
      <c r="DL193" s="144"/>
      <c r="DM193" s="144"/>
      <c r="DN193" s="144"/>
      <c r="DO193" s="144"/>
      <c r="DP193" s="144"/>
      <c r="DQ193" s="144"/>
      <c r="DR193" s="144"/>
      <c r="DS193" s="144"/>
      <c r="DT193" s="144"/>
      <c r="DU193" s="144">
        <f>DV193</f>
        <v>0</v>
      </c>
      <c r="DV193" s="144">
        <v>0</v>
      </c>
      <c r="DW193" s="144"/>
      <c r="DX193" s="144"/>
      <c r="DY193" s="144"/>
      <c r="DZ193" s="144"/>
      <c r="EA193" s="144"/>
      <c r="EB193" s="144"/>
      <c r="EC193" s="144"/>
      <c r="ED193" s="144">
        <f>EE193+EF193</f>
        <v>277421.3922</v>
      </c>
      <c r="EE193" s="144">
        <f>EH193-DV193</f>
        <v>277421.3922</v>
      </c>
      <c r="EF193" s="144"/>
      <c r="EG193" s="143">
        <f>EH193</f>
        <v>277421.3922</v>
      </c>
      <c r="EH193" s="144">
        <f>677421.3922-400000</f>
        <v>277421.3922</v>
      </c>
      <c r="EI193" s="144"/>
      <c r="EJ193" s="144"/>
      <c r="EK193" s="144">
        <f>EL193</f>
        <v>0</v>
      </c>
      <c r="EL193" s="144"/>
      <c r="EM193" s="144"/>
      <c r="EN193" s="144"/>
      <c r="EO193" s="144"/>
      <c r="EP193" s="144"/>
      <c r="EQ193" s="144"/>
      <c r="ER193" s="144"/>
      <c r="ES193" s="144">
        <f>ET193</f>
        <v>0</v>
      </c>
      <c r="ET193" s="144"/>
      <c r="EU193" s="144"/>
      <c r="EV193" s="144"/>
      <c r="EW193" s="144">
        <f>EX193</f>
        <v>0</v>
      </c>
      <c r="EX193" s="144">
        <v>0</v>
      </c>
      <c r="EY193" s="144"/>
      <c r="EZ193" s="144" t="e">
        <f>FA193+FB193</f>
        <v>#REF!</v>
      </c>
      <c r="FA193" s="144" t="e">
        <f>FD193-#REF!</f>
        <v>#REF!</v>
      </c>
      <c r="FB193" s="144"/>
      <c r="FC193" s="143">
        <f>FD193</f>
        <v>277421.3922</v>
      </c>
      <c r="FD193" s="143">
        <v>277421.3922</v>
      </c>
      <c r="FE193" s="143"/>
      <c r="FF193" s="143"/>
      <c r="FG193" s="143">
        <f>FH193</f>
        <v>0</v>
      </c>
      <c r="FH193" s="143">
        <f>FP193-FD193</f>
        <v>0</v>
      </c>
      <c r="FI193" s="143"/>
      <c r="FJ193" s="143"/>
      <c r="FK193" s="143"/>
      <c r="FL193" s="143"/>
      <c r="FM193" s="143"/>
      <c r="FN193" s="143"/>
      <c r="FO193" s="143">
        <f>FP193</f>
        <v>277421.3922</v>
      </c>
      <c r="FP193" s="143">
        <f>677421.3922-400000</f>
        <v>277421.3922</v>
      </c>
      <c r="FQ193" s="143"/>
      <c r="FR193" s="143"/>
      <c r="FS193" s="90">
        <f t="shared" si="338"/>
        <v>59678.23876</v>
      </c>
      <c r="FT193" s="518">
        <f t="shared" si="355"/>
        <v>0.21511765292049456</v>
      </c>
      <c r="FU193" s="90">
        <v>59678.23876</v>
      </c>
      <c r="FV193" s="518">
        <f t="shared" si="356"/>
        <v>0.21511765292049456</v>
      </c>
      <c r="FW193" s="87"/>
      <c r="FX193" s="665"/>
      <c r="FY193" s="90"/>
      <c r="FZ193" s="665"/>
      <c r="GA193" s="90">
        <f t="shared" si="361"/>
        <v>59678.23876</v>
      </c>
      <c r="GB193" s="518">
        <f t="shared" si="362"/>
        <v>0.21511765292049456</v>
      </c>
      <c r="GC193" s="90">
        <v>59678.23876</v>
      </c>
      <c r="GD193" s="518">
        <f t="shared" si="376"/>
        <v>0.21511765292049456</v>
      </c>
      <c r="GE193" s="87"/>
      <c r="GF193" s="515"/>
      <c r="GG193" s="87"/>
      <c r="GH193" s="515"/>
      <c r="GI193" s="90">
        <f t="shared" si="365"/>
        <v>277421.3922</v>
      </c>
      <c r="GJ193" s="518">
        <f t="shared" si="366"/>
        <v>1</v>
      </c>
      <c r="GK193" s="90">
        <v>277421.3922</v>
      </c>
      <c r="GL193" s="518">
        <f t="shared" si="368"/>
        <v>1</v>
      </c>
      <c r="GM193" s="90">
        <f t="shared" si="369"/>
        <v>0</v>
      </c>
      <c r="GN193" s="518">
        <v>0</v>
      </c>
      <c r="GO193" s="90">
        <f t="shared" si="371"/>
        <v>0</v>
      </c>
      <c r="GP193" s="518">
        <v>0</v>
      </c>
      <c r="GQ193" s="144"/>
      <c r="GR193" s="144"/>
      <c r="GS193" s="144"/>
      <c r="GT193" s="144"/>
      <c r="GU193" s="144">
        <f>GV193</f>
        <v>0</v>
      </c>
      <c r="GV193" s="144">
        <v>0</v>
      </c>
      <c r="GW193" s="144"/>
      <c r="GX193" s="144"/>
      <c r="GY193" s="144"/>
      <c r="GZ193" s="144"/>
      <c r="HA193" s="144"/>
      <c r="HB193" s="144"/>
      <c r="HC193" s="144"/>
      <c r="HD193" s="144"/>
      <c r="HE193" s="144"/>
      <c r="HF193" s="144"/>
      <c r="HG193" s="144">
        <f>HH193</f>
        <v>0</v>
      </c>
      <c r="HH193" s="144">
        <f>HP193-GV193</f>
        <v>0</v>
      </c>
      <c r="HI193" s="144"/>
      <c r="HJ193" s="144"/>
      <c r="HK193" s="144">
        <f>HL193</f>
        <v>0</v>
      </c>
      <c r="HL193" s="144">
        <f>IF193-GZ193</f>
        <v>0</v>
      </c>
      <c r="HM193" s="144"/>
      <c r="HN193" s="144"/>
      <c r="HO193" s="143">
        <f>HP193</f>
        <v>0</v>
      </c>
      <c r="HP193" s="144">
        <v>0</v>
      </c>
      <c r="HQ193" s="144"/>
      <c r="HR193" s="144"/>
      <c r="HS193" s="144">
        <f>HT193</f>
        <v>0</v>
      </c>
      <c r="HT193" s="144">
        <v>0</v>
      </c>
      <c r="HU193" s="144"/>
      <c r="HV193" s="144"/>
      <c r="HW193" s="144">
        <f>HX193</f>
        <v>0</v>
      </c>
      <c r="HX193" s="144">
        <f>IR193-HL193</f>
        <v>0</v>
      </c>
      <c r="HY193" s="144"/>
      <c r="HZ193" s="144"/>
      <c r="IA193" s="144">
        <f>IB193</f>
        <v>0</v>
      </c>
      <c r="IB193" s="144">
        <v>0</v>
      </c>
      <c r="IC193" s="144"/>
      <c r="ID193" s="144"/>
      <c r="IE193" s="558"/>
      <c r="IF193" s="145"/>
      <c r="IG193" s="145"/>
      <c r="IH193" s="145"/>
      <c r="II193" s="225"/>
      <c r="IJ193" s="225"/>
      <c r="IK193" s="225"/>
      <c r="IL193" s="225"/>
      <c r="IM193" s="225"/>
      <c r="IN193" s="225"/>
      <c r="IO193" s="225"/>
    </row>
    <row r="194" spans="2:249" s="554" customFormat="1" ht="30" hidden="1" customHeight="1" x14ac:dyDescent="0.2">
      <c r="B194" s="186"/>
      <c r="C194" s="161" t="s">
        <v>148</v>
      </c>
      <c r="D194" s="222"/>
      <c r="E194" s="143"/>
      <c r="F194" s="143"/>
      <c r="G194" s="143"/>
      <c r="H194" s="143"/>
      <c r="I194" s="143"/>
      <c r="J194" s="143"/>
      <c r="K194" s="143"/>
      <c r="L194" s="143"/>
      <c r="M194" s="143"/>
      <c r="N194" s="143"/>
      <c r="O194" s="143"/>
      <c r="P194" s="143"/>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4"/>
      <c r="AM194" s="144"/>
      <c r="AN194" s="144"/>
      <c r="AO194" s="166"/>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67"/>
      <c r="BL194" s="168"/>
      <c r="BM194" s="144"/>
      <c r="BN194" s="144"/>
      <c r="BO194" s="144"/>
      <c r="BP194" s="144"/>
      <c r="BQ194" s="144"/>
      <c r="BR194" s="144"/>
      <c r="BS194" s="144"/>
      <c r="BT194" s="144"/>
      <c r="BU194" s="144"/>
      <c r="BV194" s="144"/>
      <c r="BW194" s="144"/>
      <c r="BX194" s="144"/>
      <c r="BY194" s="144"/>
      <c r="BZ194" s="144"/>
      <c r="CA194" s="144"/>
      <c r="CB194" s="144"/>
      <c r="CC194" s="144"/>
      <c r="CD194" s="144"/>
      <c r="CE194" s="168"/>
      <c r="CF194" s="168"/>
      <c r="CG194" s="144"/>
      <c r="CH194" s="144"/>
      <c r="CI194" s="144"/>
      <c r="CJ194" s="144"/>
      <c r="CK194" s="144"/>
      <c r="CL194" s="144"/>
      <c r="CM194" s="144"/>
      <c r="CN194" s="144"/>
      <c r="CO194" s="144"/>
      <c r="CP194" s="144"/>
      <c r="CQ194" s="144"/>
      <c r="CR194" s="144"/>
      <c r="CS194" s="144"/>
      <c r="CT194" s="144"/>
      <c r="CU194" s="144"/>
      <c r="CV194" s="144"/>
      <c r="CW194" s="144">
        <f>CX194+CY194</f>
        <v>0</v>
      </c>
      <c r="CX194" s="144">
        <v>0</v>
      </c>
      <c r="CY194" s="144"/>
      <c r="CZ194" s="144"/>
      <c r="DA194" s="144"/>
      <c r="DB194" s="144"/>
      <c r="DC194" s="144"/>
      <c r="DD194" s="144"/>
      <c r="DE194" s="144"/>
      <c r="DF194" s="144">
        <f>DG194+DH194</f>
        <v>29085.1057</v>
      </c>
      <c r="DG194" s="144">
        <f>DJ194-CX194</f>
        <v>29085.1057</v>
      </c>
      <c r="DH194" s="144"/>
      <c r="DI194" s="144">
        <f>DJ194+DK194</f>
        <v>29085.1057</v>
      </c>
      <c r="DJ194" s="144">
        <f>CX54</f>
        <v>29085.1057</v>
      </c>
      <c r="DK194" s="144"/>
      <c r="DL194" s="144"/>
      <c r="DM194" s="144"/>
      <c r="DN194" s="144"/>
      <c r="DO194" s="144"/>
      <c r="DP194" s="144"/>
      <c r="DQ194" s="144"/>
      <c r="DR194" s="144"/>
      <c r="DS194" s="144"/>
      <c r="DT194" s="144"/>
      <c r="DU194" s="144">
        <f>DV194</f>
        <v>0</v>
      </c>
      <c r="DV194" s="144">
        <v>0</v>
      </c>
      <c r="DW194" s="144"/>
      <c r="DX194" s="144"/>
      <c r="DY194" s="144"/>
      <c r="DZ194" s="144"/>
      <c r="EA194" s="144"/>
      <c r="EB194" s="144"/>
      <c r="EC194" s="144"/>
      <c r="ED194" s="144">
        <f>EE194+EF194</f>
        <v>13120.291999999999</v>
      </c>
      <c r="EE194" s="144">
        <f>EH194-DV194</f>
        <v>13120.291999999999</v>
      </c>
      <c r="EF194" s="144"/>
      <c r="EG194" s="143">
        <f>EH194</f>
        <v>13120.291999999999</v>
      </c>
      <c r="EH194" s="144">
        <v>13120.291999999999</v>
      </c>
      <c r="EI194" s="144"/>
      <c r="EJ194" s="144"/>
      <c r="EK194" s="144">
        <f>EL194</f>
        <v>-13120.291999999999</v>
      </c>
      <c r="EL194" s="144">
        <f>ET194-EH194</f>
        <v>-13120.291999999999</v>
      </c>
      <c r="EM194" s="144"/>
      <c r="EN194" s="144"/>
      <c r="EO194" s="144"/>
      <c r="EP194" s="144"/>
      <c r="EQ194" s="144"/>
      <c r="ER194" s="144"/>
      <c r="ES194" s="144">
        <f>ET194</f>
        <v>0</v>
      </c>
      <c r="ET194" s="144"/>
      <c r="EU194" s="144"/>
      <c r="EV194" s="144"/>
      <c r="EW194" s="144">
        <f>EX194</f>
        <v>0</v>
      </c>
      <c r="EX194" s="144">
        <v>0</v>
      </c>
      <c r="EY194" s="144"/>
      <c r="EZ194" s="144" t="e">
        <f>FA194+FB194</f>
        <v>#REF!</v>
      </c>
      <c r="FA194" s="144" t="e">
        <f>FD194-#REF!</f>
        <v>#REF!</v>
      </c>
      <c r="FB194" s="144"/>
      <c r="FC194" s="143">
        <f>FD194</f>
        <v>15670.008470000001</v>
      </c>
      <c r="FD194" s="143">
        <v>15670.008470000001</v>
      </c>
      <c r="FE194" s="143"/>
      <c r="FF194" s="143"/>
      <c r="FG194" s="143">
        <f>FH194</f>
        <v>0</v>
      </c>
      <c r="FH194" s="143"/>
      <c r="FI194" s="143"/>
      <c r="FJ194" s="143"/>
      <c r="FK194" s="143"/>
      <c r="FL194" s="143"/>
      <c r="FM194" s="143"/>
      <c r="FN194" s="143"/>
      <c r="FO194" s="143">
        <f>FP194</f>
        <v>13120.291999999999</v>
      </c>
      <c r="FP194" s="143">
        <v>13120.291999999999</v>
      </c>
      <c r="FQ194" s="143"/>
      <c r="FR194" s="143"/>
      <c r="FS194" s="90">
        <f t="shared" si="338"/>
        <v>8779.6250700000001</v>
      </c>
      <c r="FT194" s="518">
        <f t="shared" si="355"/>
        <v>0.56028208834784377</v>
      </c>
      <c r="FU194" s="90">
        <f>9674.71507-FU195</f>
        <v>8779.6250700000001</v>
      </c>
      <c r="FV194" s="518">
        <f t="shared" si="356"/>
        <v>0.56028208834784377</v>
      </c>
      <c r="FW194" s="87"/>
      <c r="FX194" s="665"/>
      <c r="FY194" s="90"/>
      <c r="FZ194" s="665"/>
      <c r="GA194" s="90">
        <f t="shared" si="361"/>
        <v>8779.6250700000001</v>
      </c>
      <c r="GB194" s="518">
        <f t="shared" si="362"/>
        <v>0.56028208834784377</v>
      </c>
      <c r="GC194" s="90">
        <v>8779.6250700000001</v>
      </c>
      <c r="GD194" s="518">
        <f t="shared" si="376"/>
        <v>0.56028208834784377</v>
      </c>
      <c r="GE194" s="87"/>
      <c r="GF194" s="515"/>
      <c r="GG194" s="87"/>
      <c r="GH194" s="515"/>
      <c r="GI194" s="90">
        <f t="shared" si="365"/>
        <v>15017.83013</v>
      </c>
      <c r="GJ194" s="518">
        <f t="shared" si="366"/>
        <v>0.9583804730387615</v>
      </c>
      <c r="GK194" s="90">
        <f>15912.92013-GK195</f>
        <v>15017.83013</v>
      </c>
      <c r="GL194" s="518">
        <f t="shared" si="368"/>
        <v>0.9583804730387615</v>
      </c>
      <c r="GM194" s="90">
        <f t="shared" si="369"/>
        <v>0</v>
      </c>
      <c r="GN194" s="518">
        <v>0</v>
      </c>
      <c r="GO194" s="90">
        <f t="shared" si="371"/>
        <v>0</v>
      </c>
      <c r="GP194" s="518">
        <v>0</v>
      </c>
      <c r="GQ194" s="144"/>
      <c r="GR194" s="144"/>
      <c r="GS194" s="144"/>
      <c r="GT194" s="144"/>
      <c r="GU194" s="144">
        <f>GV194</f>
        <v>8189.6653699999997</v>
      </c>
      <c r="GV194" s="144">
        <v>8189.6653699999997</v>
      </c>
      <c r="GW194" s="144"/>
      <c r="GX194" s="144"/>
      <c r="GY194" s="144"/>
      <c r="GZ194" s="144"/>
      <c r="HA194" s="144"/>
      <c r="HB194" s="144"/>
      <c r="HC194" s="144"/>
      <c r="HD194" s="144"/>
      <c r="HE194" s="144"/>
      <c r="HF194" s="144"/>
      <c r="HG194" s="144">
        <f>HH194</f>
        <v>0</v>
      </c>
      <c r="HH194" s="144">
        <f>HP194-GV194</f>
        <v>0</v>
      </c>
      <c r="HI194" s="144"/>
      <c r="HJ194" s="144"/>
      <c r="HK194" s="144">
        <f>HL194</f>
        <v>0</v>
      </c>
      <c r="HL194" s="144">
        <f>IF194-GZ194</f>
        <v>0</v>
      </c>
      <c r="HM194" s="144"/>
      <c r="HN194" s="144"/>
      <c r="HO194" s="143">
        <f>HP194</f>
        <v>8189.6653699999997</v>
      </c>
      <c r="HP194" s="144">
        <v>8189.6653699999997</v>
      </c>
      <c r="HQ194" s="144"/>
      <c r="HR194" s="144"/>
      <c r="HS194" s="144">
        <f>HT194</f>
        <v>0</v>
      </c>
      <c r="HT194" s="144">
        <v>0</v>
      </c>
      <c r="HU194" s="144"/>
      <c r="HV194" s="144"/>
      <c r="HW194" s="144">
        <f>HX194</f>
        <v>0</v>
      </c>
      <c r="HX194" s="144">
        <f>IR194-HL194</f>
        <v>0</v>
      </c>
      <c r="HY194" s="144"/>
      <c r="HZ194" s="144"/>
      <c r="IA194" s="144">
        <f>IB194</f>
        <v>0</v>
      </c>
      <c r="IB194" s="144">
        <v>0</v>
      </c>
      <c r="IC194" s="144"/>
      <c r="ID194" s="144"/>
      <c r="IE194" s="558"/>
      <c r="IF194" s="145"/>
      <c r="IG194" s="145"/>
      <c r="IH194" s="145"/>
      <c r="II194" s="225"/>
      <c r="IJ194" s="225"/>
      <c r="IK194" s="225"/>
      <c r="IL194" s="225"/>
      <c r="IM194" s="225"/>
      <c r="IN194" s="225"/>
      <c r="IO194" s="225"/>
    </row>
    <row r="195" spans="2:249" s="214" customFormat="1" ht="56.25" hidden="1" customHeight="1" x14ac:dyDescent="0.25">
      <c r="B195" s="100"/>
      <c r="C195" s="161" t="s">
        <v>487</v>
      </c>
      <c r="D195" s="102"/>
      <c r="E195" s="103"/>
      <c r="F195" s="103"/>
      <c r="G195" s="103"/>
      <c r="H195" s="143"/>
      <c r="I195" s="103"/>
      <c r="J195" s="103"/>
      <c r="K195" s="103"/>
      <c r="L195" s="103"/>
      <c r="M195" s="103"/>
      <c r="N195" s="143"/>
      <c r="O195" s="103"/>
      <c r="P195" s="103"/>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9"/>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10"/>
      <c r="BL195" s="106"/>
      <c r="BM195" s="105"/>
      <c r="BN195" s="105"/>
      <c r="BO195" s="105"/>
      <c r="BP195" s="105"/>
      <c r="BQ195" s="105"/>
      <c r="BR195" s="105"/>
      <c r="BS195" s="105"/>
      <c r="BT195" s="105"/>
      <c r="BU195" s="105"/>
      <c r="BV195" s="105"/>
      <c r="BW195" s="105"/>
      <c r="BX195" s="105"/>
      <c r="BY195" s="105"/>
      <c r="BZ195" s="105"/>
      <c r="CA195" s="105"/>
      <c r="CB195" s="105"/>
      <c r="CC195" s="105"/>
      <c r="CD195" s="105"/>
      <c r="CE195" s="106"/>
      <c r="CF195" s="106"/>
      <c r="CG195" s="105"/>
      <c r="CH195" s="105"/>
      <c r="CI195" s="105"/>
      <c r="CJ195" s="105"/>
      <c r="CK195" s="105"/>
      <c r="CL195" s="105"/>
      <c r="CM195" s="105"/>
      <c r="CN195" s="105"/>
      <c r="CO195" s="105"/>
      <c r="CP195" s="105"/>
      <c r="CQ195" s="105"/>
      <c r="CR195" s="105"/>
      <c r="CS195" s="105"/>
      <c r="CT195" s="105"/>
      <c r="CU195" s="105"/>
      <c r="CV195" s="105"/>
      <c r="CW195" s="144">
        <f>CX195+CY195</f>
        <v>0</v>
      </c>
      <c r="CX195" s="144">
        <v>0</v>
      </c>
      <c r="CY195" s="105"/>
      <c r="CZ195" s="105"/>
      <c r="DA195" s="105"/>
      <c r="DB195" s="105"/>
      <c r="DC195" s="105"/>
      <c r="DD195" s="105"/>
      <c r="DE195" s="105"/>
      <c r="DF195" s="144">
        <f>DG195+DH195</f>
        <v>453.24599999999998</v>
      </c>
      <c r="DG195" s="144">
        <f>DJ195-CX195</f>
        <v>453.24599999999998</v>
      </c>
      <c r="DH195" s="105"/>
      <c r="DI195" s="144">
        <f>DJ195+DK195</f>
        <v>453.24599999999998</v>
      </c>
      <c r="DJ195" s="144">
        <f>CX56</f>
        <v>453.24599999999998</v>
      </c>
      <c r="DK195" s="105"/>
      <c r="DL195" s="105"/>
      <c r="DM195" s="105"/>
      <c r="DN195" s="105"/>
      <c r="DO195" s="105"/>
      <c r="DP195" s="105"/>
      <c r="DQ195" s="105"/>
      <c r="DR195" s="105"/>
      <c r="DS195" s="105"/>
      <c r="DT195" s="105"/>
      <c r="DU195" s="105"/>
      <c r="DV195" s="105"/>
      <c r="DW195" s="105"/>
      <c r="DX195" s="105"/>
      <c r="DY195" s="105"/>
      <c r="DZ195" s="105"/>
      <c r="EA195" s="105"/>
      <c r="EB195" s="105"/>
      <c r="EC195" s="105"/>
      <c r="ED195" s="144">
        <f>EE195+EF195</f>
        <v>0</v>
      </c>
      <c r="EE195" s="144">
        <f>EH195-DV195</f>
        <v>0</v>
      </c>
      <c r="EF195" s="105"/>
      <c r="EG195" s="105"/>
      <c r="EH195" s="144"/>
      <c r="EI195" s="144"/>
      <c r="EJ195" s="144"/>
      <c r="EK195" s="144">
        <f>EL195</f>
        <v>0</v>
      </c>
      <c r="EL195" s="144">
        <v>0</v>
      </c>
      <c r="EM195" s="105"/>
      <c r="EN195" s="105"/>
      <c r="EO195" s="105"/>
      <c r="EP195" s="105"/>
      <c r="EQ195" s="105"/>
      <c r="ER195" s="105"/>
      <c r="ES195" s="144">
        <f>ET195</f>
        <v>0</v>
      </c>
      <c r="ET195" s="144"/>
      <c r="EU195" s="105"/>
      <c r="EV195" s="105"/>
      <c r="EW195" s="144">
        <f>EX195</f>
        <v>0</v>
      </c>
      <c r="EX195" s="144">
        <v>0</v>
      </c>
      <c r="EY195" s="105"/>
      <c r="EZ195" s="105"/>
      <c r="FA195" s="105"/>
      <c r="FB195" s="105"/>
      <c r="FC195" s="143">
        <f>FD195</f>
        <v>895.09</v>
      </c>
      <c r="FD195" s="143">
        <v>895.09</v>
      </c>
      <c r="FE195" s="143"/>
      <c r="FF195" s="143"/>
      <c r="FG195" s="143">
        <f>FH195</f>
        <v>0</v>
      </c>
      <c r="FH195" s="143"/>
      <c r="FI195" s="103"/>
      <c r="FJ195" s="103"/>
      <c r="FK195" s="103"/>
      <c r="FL195" s="103"/>
      <c r="FM195" s="103"/>
      <c r="FN195" s="103"/>
      <c r="FO195" s="103"/>
      <c r="FP195" s="143"/>
      <c r="FQ195" s="143"/>
      <c r="FR195" s="143"/>
      <c r="FS195" s="143">
        <f t="shared" si="338"/>
        <v>895.09</v>
      </c>
      <c r="FT195" s="518">
        <f t="shared" si="355"/>
        <v>1</v>
      </c>
      <c r="FU195" s="90">
        <f>FD195</f>
        <v>895.09</v>
      </c>
      <c r="FV195" s="518">
        <f t="shared" si="356"/>
        <v>1</v>
      </c>
      <c r="FW195" s="87"/>
      <c r="FX195" s="665"/>
      <c r="FY195" s="90"/>
      <c r="FZ195" s="665"/>
      <c r="GA195" s="90">
        <f t="shared" si="361"/>
        <v>895.09</v>
      </c>
      <c r="GB195" s="518">
        <f t="shared" si="362"/>
        <v>1</v>
      </c>
      <c r="GC195" s="90">
        <v>895.09</v>
      </c>
      <c r="GD195" s="518">
        <f t="shared" si="376"/>
        <v>1</v>
      </c>
      <c r="GE195" s="82"/>
      <c r="GF195" s="498"/>
      <c r="GG195" s="82"/>
      <c r="GH195" s="498"/>
      <c r="GI195" s="90">
        <f t="shared" si="365"/>
        <v>895.09</v>
      </c>
      <c r="GJ195" s="518">
        <f t="shared" si="366"/>
        <v>1</v>
      </c>
      <c r="GK195" s="90">
        <f>GC195</f>
        <v>895.09</v>
      </c>
      <c r="GL195" s="518">
        <f t="shared" si="368"/>
        <v>1</v>
      </c>
      <c r="GM195" s="90">
        <f t="shared" ref="GM195:GM206" si="434">GM444+GM493</f>
        <v>0</v>
      </c>
      <c r="GN195" s="518">
        <v>0</v>
      </c>
      <c r="GO195" s="90">
        <f t="shared" ref="GO195:GO206" si="435">GO444+GO493</f>
        <v>0</v>
      </c>
      <c r="GP195" s="518">
        <v>0</v>
      </c>
      <c r="GQ195" s="144"/>
      <c r="GR195" s="144"/>
      <c r="GS195" s="144"/>
      <c r="GT195" s="144"/>
      <c r="GU195" s="144">
        <f>GV195</f>
        <v>0</v>
      </c>
      <c r="GV195" s="144"/>
      <c r="GW195" s="144"/>
      <c r="GX195" s="144"/>
      <c r="GY195" s="144"/>
      <c r="GZ195" s="144"/>
      <c r="HA195" s="144"/>
      <c r="HB195" s="144"/>
      <c r="HC195" s="144"/>
      <c r="HD195" s="144"/>
      <c r="HE195" s="144"/>
      <c r="HF195" s="144"/>
      <c r="HG195" s="105"/>
      <c r="HH195" s="144"/>
      <c r="HI195" s="144"/>
      <c r="HJ195" s="144"/>
      <c r="HK195" s="105"/>
      <c r="HL195" s="144"/>
      <c r="HM195" s="144"/>
      <c r="HN195" s="144"/>
      <c r="HO195" s="105"/>
      <c r="HP195" s="144"/>
      <c r="HQ195" s="144"/>
      <c r="HR195" s="144"/>
      <c r="HS195" s="105"/>
      <c r="HT195" s="144"/>
      <c r="HU195" s="144"/>
      <c r="HV195" s="144"/>
      <c r="HW195" s="105"/>
      <c r="HX195" s="144"/>
      <c r="HY195" s="144"/>
      <c r="HZ195" s="144"/>
      <c r="IA195" s="105"/>
      <c r="IB195" s="144"/>
      <c r="IC195" s="144"/>
      <c r="ID195" s="144"/>
      <c r="IE195" s="216"/>
      <c r="IF195" s="141"/>
      <c r="IG195" s="141"/>
      <c r="IH195" s="141"/>
      <c r="II195" s="202"/>
      <c r="IJ195" s="202"/>
      <c r="IK195" s="202"/>
      <c r="IL195" s="202"/>
      <c r="IM195" s="202"/>
      <c r="IN195" s="202"/>
      <c r="IO195" s="202"/>
    </row>
    <row r="196" spans="2:249" s="127" customFormat="1" ht="46.5" hidden="1" customHeight="1" x14ac:dyDescent="0.25">
      <c r="B196" s="115"/>
      <c r="C196" s="116"/>
      <c r="D196" s="117"/>
      <c r="E196" s="118"/>
      <c r="F196" s="118"/>
      <c r="G196" s="118"/>
      <c r="H196" s="118"/>
      <c r="I196" s="118"/>
      <c r="J196" s="118"/>
      <c r="K196" s="118"/>
      <c r="L196" s="118"/>
      <c r="M196" s="118"/>
      <c r="N196" s="118"/>
      <c r="O196" s="118"/>
      <c r="P196" s="118"/>
      <c r="Q196" s="119"/>
      <c r="R196" s="119"/>
      <c r="S196" s="119"/>
      <c r="T196" s="119"/>
      <c r="U196" s="119"/>
      <c r="V196" s="119"/>
      <c r="W196" s="119"/>
      <c r="X196" s="119"/>
      <c r="Y196" s="119"/>
      <c r="Z196" s="119"/>
      <c r="AA196" s="119"/>
      <c r="AB196" s="119"/>
      <c r="AC196" s="119"/>
      <c r="AD196" s="119"/>
      <c r="AE196" s="119"/>
      <c r="AF196" s="119"/>
      <c r="AG196" s="119"/>
      <c r="AH196" s="119"/>
      <c r="AI196" s="120"/>
      <c r="AJ196" s="119"/>
      <c r="AK196" s="119"/>
      <c r="AL196" s="119"/>
      <c r="AM196" s="121"/>
      <c r="AN196" s="119"/>
      <c r="AO196" s="122"/>
      <c r="AP196" s="119"/>
      <c r="AQ196" s="119"/>
      <c r="AR196" s="119"/>
      <c r="AS196" s="119"/>
      <c r="AT196" s="119"/>
      <c r="AU196" s="119"/>
      <c r="AV196" s="119"/>
      <c r="AW196" s="119"/>
      <c r="AX196" s="119"/>
      <c r="AY196" s="119"/>
      <c r="AZ196" s="119"/>
      <c r="BA196" s="119"/>
      <c r="BB196" s="119"/>
      <c r="BC196" s="119"/>
      <c r="BD196" s="119"/>
      <c r="BE196" s="119"/>
      <c r="BF196" s="119"/>
      <c r="BG196" s="119"/>
      <c r="BH196" s="119"/>
      <c r="BI196" s="119"/>
      <c r="BJ196" s="119"/>
      <c r="BK196" s="123"/>
      <c r="BL196" s="124"/>
      <c r="BM196" s="124"/>
      <c r="BN196" s="124"/>
      <c r="BO196" s="124"/>
      <c r="BP196" s="124"/>
      <c r="BQ196" s="124"/>
      <c r="BR196" s="124"/>
      <c r="BS196" s="124"/>
      <c r="BT196" s="124"/>
      <c r="BU196" s="124"/>
      <c r="BV196" s="119"/>
      <c r="BW196" s="119"/>
      <c r="BX196" s="119"/>
      <c r="BY196" s="119"/>
      <c r="BZ196" s="119"/>
      <c r="CA196" s="119"/>
      <c r="CB196" s="119"/>
      <c r="CC196" s="119"/>
      <c r="CD196" s="119"/>
      <c r="CE196" s="124"/>
      <c r="CF196" s="124"/>
      <c r="CG196" s="119"/>
      <c r="CH196" s="119"/>
      <c r="CI196" s="119"/>
      <c r="CJ196" s="119"/>
      <c r="CK196" s="119"/>
      <c r="CL196" s="119"/>
      <c r="CM196" s="119"/>
      <c r="CN196" s="119"/>
      <c r="CO196" s="119"/>
      <c r="CP196" s="119"/>
      <c r="CQ196" s="119"/>
      <c r="CR196" s="119"/>
      <c r="CS196" s="119"/>
      <c r="CT196" s="119"/>
      <c r="CU196" s="119"/>
      <c r="CV196" s="119"/>
      <c r="CW196" s="119"/>
      <c r="CX196" s="119"/>
      <c r="CY196" s="119"/>
      <c r="CZ196" s="119"/>
      <c r="DA196" s="119"/>
      <c r="DB196" s="119"/>
      <c r="DC196" s="119"/>
      <c r="DD196" s="119"/>
      <c r="DE196" s="119"/>
      <c r="DF196" s="119"/>
      <c r="DG196" s="119"/>
      <c r="DH196" s="119"/>
      <c r="DI196" s="119"/>
      <c r="DJ196" s="119"/>
      <c r="DK196" s="119"/>
      <c r="DL196" s="119"/>
      <c r="DM196" s="119"/>
      <c r="DN196" s="119"/>
      <c r="DO196" s="119"/>
      <c r="DP196" s="119"/>
      <c r="DQ196" s="119"/>
      <c r="DR196" s="119"/>
      <c r="DS196" s="119"/>
      <c r="DT196" s="119"/>
      <c r="DU196" s="119"/>
      <c r="DV196" s="119"/>
      <c r="DW196" s="119"/>
      <c r="DX196" s="119"/>
      <c r="DY196" s="119"/>
      <c r="DZ196" s="119"/>
      <c r="EA196" s="119"/>
      <c r="EB196" s="119"/>
      <c r="EC196" s="119"/>
      <c r="ED196" s="119"/>
      <c r="EE196" s="119"/>
      <c r="EF196" s="119"/>
      <c r="EG196" s="119"/>
      <c r="EH196" s="119"/>
      <c r="EI196" s="119"/>
      <c r="EJ196" s="119"/>
      <c r="EK196" s="119"/>
      <c r="EL196" s="119"/>
      <c r="EM196" s="119"/>
      <c r="EN196" s="119"/>
      <c r="EO196" s="119"/>
      <c r="EP196" s="119"/>
      <c r="EQ196" s="119"/>
      <c r="ER196" s="119"/>
      <c r="ES196" s="119"/>
      <c r="ET196" s="119"/>
      <c r="EU196" s="119"/>
      <c r="EV196" s="119"/>
      <c r="EW196" s="119"/>
      <c r="EX196" s="119"/>
      <c r="EY196" s="119"/>
      <c r="EZ196" s="119"/>
      <c r="FA196" s="119"/>
      <c r="FB196" s="119"/>
      <c r="FC196" s="118"/>
      <c r="FD196" s="118"/>
      <c r="FE196" s="118"/>
      <c r="FF196" s="118"/>
      <c r="FG196" s="118"/>
      <c r="FH196" s="118"/>
      <c r="FI196" s="118"/>
      <c r="FJ196" s="118"/>
      <c r="FK196" s="118"/>
      <c r="FL196" s="118"/>
      <c r="FM196" s="118"/>
      <c r="FN196" s="118"/>
      <c r="FO196" s="118"/>
      <c r="FP196" s="118"/>
      <c r="FQ196" s="118"/>
      <c r="FR196" s="118"/>
      <c r="FS196" s="39">
        <f t="shared" si="338"/>
        <v>0</v>
      </c>
      <c r="FT196" s="485" t="e">
        <f t="shared" si="355"/>
        <v>#DIV/0!</v>
      </c>
      <c r="FU196" s="39">
        <v>0</v>
      </c>
      <c r="FV196" s="485" t="e">
        <f t="shared" si="356"/>
        <v>#DIV/0!</v>
      </c>
      <c r="FW196" s="38">
        <f t="shared" ref="FW196:FW206" si="436">FW445+FW494</f>
        <v>0</v>
      </c>
      <c r="FX196" s="660" t="e">
        <f t="shared" si="358"/>
        <v>#DIV/0!</v>
      </c>
      <c r="FY196" s="39">
        <f t="shared" ref="FY196:FY206" si="437">FY445+FY494</f>
        <v>0</v>
      </c>
      <c r="FZ196" s="660" t="e">
        <f t="shared" si="360"/>
        <v>#DIV/0!</v>
      </c>
      <c r="GA196" s="39">
        <f t="shared" si="361"/>
        <v>0</v>
      </c>
      <c r="GB196" s="485" t="e">
        <f t="shared" si="362"/>
        <v>#DIV/0!</v>
      </c>
      <c r="GC196" s="39">
        <v>0</v>
      </c>
      <c r="GD196" s="485" t="e">
        <f t="shared" si="376"/>
        <v>#DIV/0!</v>
      </c>
      <c r="GE196" s="82"/>
      <c r="GF196" s="498"/>
      <c r="GG196" s="82">
        <f t="shared" ref="GG196:GG206" si="438">GG445+GG494</f>
        <v>0</v>
      </c>
      <c r="GH196" s="498" t="e">
        <f t="shared" si="364"/>
        <v>#DIV/0!</v>
      </c>
      <c r="GI196" s="90">
        <f t="shared" si="365"/>
        <v>0</v>
      </c>
      <c r="GJ196" s="485" t="e">
        <f t="shared" si="366"/>
        <v>#DIV/0!</v>
      </c>
      <c r="GK196" s="90">
        <f t="shared" ref="GK196:GK206" si="439">GK445+GK494</f>
        <v>0</v>
      </c>
      <c r="GL196" s="485" t="e">
        <f t="shared" si="368"/>
        <v>#DIV/0!</v>
      </c>
      <c r="GM196" s="90">
        <f t="shared" si="434"/>
        <v>0</v>
      </c>
      <c r="GN196" s="485" t="e">
        <f t="shared" si="370"/>
        <v>#DIV/0!</v>
      </c>
      <c r="GO196" s="90">
        <f t="shared" si="435"/>
        <v>0</v>
      </c>
      <c r="GP196" s="485" t="e">
        <f t="shared" si="372"/>
        <v>#DIV/0!</v>
      </c>
      <c r="GQ196" s="119"/>
      <c r="GR196" s="119"/>
      <c r="GS196" s="119"/>
      <c r="GT196" s="119"/>
      <c r="GU196" s="119"/>
      <c r="GV196" s="119"/>
      <c r="GW196" s="119"/>
      <c r="GX196" s="119"/>
      <c r="GY196" s="119"/>
      <c r="GZ196" s="119"/>
      <c r="HA196" s="119"/>
      <c r="HB196" s="119"/>
      <c r="HC196" s="119"/>
      <c r="HD196" s="119"/>
      <c r="HE196" s="119"/>
      <c r="HF196" s="119"/>
      <c r="HG196" s="119"/>
      <c r="HH196" s="119"/>
      <c r="HI196" s="119"/>
      <c r="HJ196" s="119"/>
      <c r="HK196" s="119"/>
      <c r="HL196" s="119"/>
      <c r="HM196" s="119"/>
      <c r="HN196" s="119"/>
      <c r="HO196" s="119"/>
      <c r="HP196" s="119"/>
      <c r="HQ196" s="119"/>
      <c r="HR196" s="119"/>
      <c r="HS196" s="119"/>
      <c r="HT196" s="119"/>
      <c r="HU196" s="119"/>
      <c r="HV196" s="119"/>
      <c r="HW196" s="119"/>
      <c r="HX196" s="119"/>
      <c r="HY196" s="119"/>
      <c r="HZ196" s="119"/>
      <c r="IA196" s="119"/>
      <c r="IB196" s="119"/>
      <c r="IC196" s="119"/>
      <c r="ID196" s="119"/>
      <c r="IE196" s="125"/>
      <c r="IF196" s="126"/>
      <c r="IG196" s="126"/>
      <c r="IH196" s="126"/>
    </row>
    <row r="197" spans="2:249" s="214" customFormat="1" ht="137.25" hidden="1" customHeight="1" x14ac:dyDescent="0.25">
      <c r="B197" s="100" t="s">
        <v>298</v>
      </c>
      <c r="C197" s="176" t="s">
        <v>299</v>
      </c>
      <c r="D197" s="102"/>
      <c r="E197" s="103"/>
      <c r="F197" s="103"/>
      <c r="G197" s="103"/>
      <c r="H197" s="143"/>
      <c r="I197" s="103"/>
      <c r="J197" s="103"/>
      <c r="K197" s="103"/>
      <c r="L197" s="103"/>
      <c r="M197" s="103"/>
      <c r="N197" s="143"/>
      <c r="O197" s="103"/>
      <c r="P197" s="103"/>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9"/>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10"/>
      <c r="BL197" s="106"/>
      <c r="BM197" s="105"/>
      <c r="BN197" s="105"/>
      <c r="BO197" s="105"/>
      <c r="BP197" s="105"/>
      <c r="BQ197" s="105"/>
      <c r="BR197" s="105"/>
      <c r="BS197" s="105"/>
      <c r="BT197" s="105"/>
      <c r="BU197" s="105"/>
      <c r="BV197" s="105"/>
      <c r="BW197" s="105"/>
      <c r="BX197" s="105"/>
      <c r="BY197" s="105"/>
      <c r="BZ197" s="105"/>
      <c r="CA197" s="105"/>
      <c r="CB197" s="105"/>
      <c r="CC197" s="105"/>
      <c r="CD197" s="105"/>
      <c r="CE197" s="106"/>
      <c r="CF197" s="106"/>
      <c r="CG197" s="105"/>
      <c r="CH197" s="105"/>
      <c r="CI197" s="105"/>
      <c r="CJ197" s="105"/>
      <c r="CK197" s="105"/>
      <c r="CL197" s="105"/>
      <c r="CM197" s="105"/>
      <c r="CN197" s="105"/>
      <c r="CO197" s="105"/>
      <c r="CP197" s="105"/>
      <c r="CQ197" s="105"/>
      <c r="CR197" s="105"/>
      <c r="CS197" s="105"/>
      <c r="CT197" s="105"/>
      <c r="CU197" s="105"/>
      <c r="CV197" s="105"/>
      <c r="CW197" s="105">
        <f>CX197</f>
        <v>0</v>
      </c>
      <c r="CX197" s="105">
        <f>CX199+CX200+CX201</f>
        <v>0</v>
      </c>
      <c r="CY197" s="105">
        <f t="shared" ref="CY197:DE197" si="440">CY176</f>
        <v>0</v>
      </c>
      <c r="CZ197" s="105">
        <f t="shared" si="440"/>
        <v>10000</v>
      </c>
      <c r="DA197" s="105">
        <f t="shared" si="440"/>
        <v>10000</v>
      </c>
      <c r="DB197" s="105">
        <f t="shared" si="440"/>
        <v>0</v>
      </c>
      <c r="DC197" s="105">
        <f t="shared" si="440"/>
        <v>166307.16456999999</v>
      </c>
      <c r="DD197" s="105">
        <f t="shared" si="440"/>
        <v>166307.16456999999</v>
      </c>
      <c r="DE197" s="105">
        <f t="shared" si="440"/>
        <v>0</v>
      </c>
      <c r="DF197" s="105">
        <f>DG197</f>
        <v>154462.08046999999</v>
      </c>
      <c r="DG197" s="105">
        <f>DG199+DG200+DG201</f>
        <v>154462.08046999999</v>
      </c>
      <c r="DH197" s="105">
        <f>DH176</f>
        <v>0</v>
      </c>
      <c r="DI197" s="105">
        <f>DJ197</f>
        <v>154462.08046999999</v>
      </c>
      <c r="DJ197" s="105">
        <f>DJ199+DJ200+DJ201</f>
        <v>154462.08046999999</v>
      </c>
      <c r="DK197" s="105">
        <f t="shared" ref="DK197:DT197" si="441">DK176</f>
        <v>0</v>
      </c>
      <c r="DL197" s="105">
        <f t="shared" si="441"/>
        <v>62810.349260000003</v>
      </c>
      <c r="DM197" s="105">
        <f t="shared" si="441"/>
        <v>62810.349260000003</v>
      </c>
      <c r="DN197" s="105">
        <f t="shared" si="441"/>
        <v>0</v>
      </c>
      <c r="DO197" s="105">
        <f t="shared" si="441"/>
        <v>-62810.349260000003</v>
      </c>
      <c r="DP197" s="105">
        <f t="shared" si="441"/>
        <v>-62810.349260000003</v>
      </c>
      <c r="DQ197" s="105">
        <f t="shared" si="441"/>
        <v>0</v>
      </c>
      <c r="DR197" s="105">
        <f t="shared" si="441"/>
        <v>0</v>
      </c>
      <c r="DS197" s="105">
        <f t="shared" si="441"/>
        <v>0</v>
      </c>
      <c r="DT197" s="105">
        <f t="shared" si="441"/>
        <v>0</v>
      </c>
      <c r="DU197" s="105">
        <f>DV197</f>
        <v>0</v>
      </c>
      <c r="DV197" s="105">
        <f>DV199+DV200+DV201</f>
        <v>0</v>
      </c>
      <c r="DW197" s="105">
        <f t="shared" ref="DW197:EC197" si="442">DW176</f>
        <v>0</v>
      </c>
      <c r="DX197" s="105">
        <f t="shared" si="442"/>
        <v>12000</v>
      </c>
      <c r="DY197" s="105">
        <f t="shared" si="442"/>
        <v>12000</v>
      </c>
      <c r="DZ197" s="105">
        <f t="shared" si="442"/>
        <v>0</v>
      </c>
      <c r="EA197" s="105">
        <f t="shared" si="442"/>
        <v>363493.84052999999</v>
      </c>
      <c r="EB197" s="105">
        <f t="shared" si="442"/>
        <v>363493.84052999999</v>
      </c>
      <c r="EC197" s="105">
        <f t="shared" si="442"/>
        <v>0</v>
      </c>
      <c r="ED197" s="105">
        <f>EE197</f>
        <v>0</v>
      </c>
      <c r="EE197" s="105">
        <f>EE199+EE200+EE201</f>
        <v>0</v>
      </c>
      <c r="EF197" s="105">
        <f>EF176</f>
        <v>0</v>
      </c>
      <c r="EG197" s="105">
        <f>EH197</f>
        <v>0</v>
      </c>
      <c r="EH197" s="105">
        <f>EH198+EH202</f>
        <v>0</v>
      </c>
      <c r="EI197" s="105"/>
      <c r="EJ197" s="144"/>
      <c r="EK197" s="105">
        <f>EL197</f>
        <v>0</v>
      </c>
      <c r="EL197" s="105">
        <f>EL198+EL202</f>
        <v>0</v>
      </c>
      <c r="EM197" s="105"/>
      <c r="EN197" s="105">
        <f>EN176</f>
        <v>0</v>
      </c>
      <c r="EO197" s="105">
        <f>EO176</f>
        <v>0</v>
      </c>
      <c r="EP197" s="105">
        <f>EP176</f>
        <v>0</v>
      </c>
      <c r="EQ197" s="105"/>
      <c r="ER197" s="105">
        <f>ER176</f>
        <v>0</v>
      </c>
      <c r="ES197" s="105">
        <f>ET197</f>
        <v>0</v>
      </c>
      <c r="ET197" s="105"/>
      <c r="EU197" s="105"/>
      <c r="EV197" s="105">
        <f>EV176</f>
        <v>0</v>
      </c>
      <c r="EW197" s="105">
        <f>EX197</f>
        <v>0</v>
      </c>
      <c r="EX197" s="105">
        <f>EX199+EX200+EX201</f>
        <v>0</v>
      </c>
      <c r="EY197" s="105">
        <f>EY176</f>
        <v>0</v>
      </c>
      <c r="EZ197" s="105" t="e">
        <f>FA197</f>
        <v>#REF!</v>
      </c>
      <c r="FA197" s="105" t="e">
        <f>FA199+FA200+FA201</f>
        <v>#REF!</v>
      </c>
      <c r="FB197" s="105">
        <f>FB176</f>
        <v>0</v>
      </c>
      <c r="FC197" s="103">
        <f>FD197</f>
        <v>0</v>
      </c>
      <c r="FD197" s="103">
        <f>FD198+FD202</f>
        <v>0</v>
      </c>
      <c r="FE197" s="103"/>
      <c r="FF197" s="143"/>
      <c r="FG197" s="103">
        <f>FH197</f>
        <v>0</v>
      </c>
      <c r="FH197" s="103">
        <f>FH198+FH202</f>
        <v>0</v>
      </c>
      <c r="FI197" s="103"/>
      <c r="FJ197" s="103">
        <f>FJ176</f>
        <v>0</v>
      </c>
      <c r="FK197" s="103">
        <f>FK176</f>
        <v>0</v>
      </c>
      <c r="FL197" s="103">
        <f>FL176</f>
        <v>0</v>
      </c>
      <c r="FM197" s="103"/>
      <c r="FN197" s="103">
        <f>FN176</f>
        <v>0</v>
      </c>
      <c r="FO197" s="103">
        <f>FP197</f>
        <v>0</v>
      </c>
      <c r="FP197" s="103">
        <f>FP198+FP202</f>
        <v>0</v>
      </c>
      <c r="FQ197" s="103"/>
      <c r="FR197" s="143"/>
      <c r="FS197" s="39">
        <f t="shared" si="338"/>
        <v>0</v>
      </c>
      <c r="FT197" s="485" t="e">
        <f t="shared" si="355"/>
        <v>#DIV/0!</v>
      </c>
      <c r="FU197" s="39">
        <v>0</v>
      </c>
      <c r="FV197" s="485" t="e">
        <f t="shared" si="356"/>
        <v>#DIV/0!</v>
      </c>
      <c r="FW197" s="38">
        <f t="shared" si="436"/>
        <v>0</v>
      </c>
      <c r="FX197" s="660" t="e">
        <f t="shared" si="358"/>
        <v>#DIV/0!</v>
      </c>
      <c r="FY197" s="39">
        <f t="shared" si="437"/>
        <v>0</v>
      </c>
      <c r="FZ197" s="660" t="e">
        <f t="shared" si="360"/>
        <v>#DIV/0!</v>
      </c>
      <c r="GA197" s="39">
        <f t="shared" si="361"/>
        <v>0</v>
      </c>
      <c r="GB197" s="485" t="e">
        <f t="shared" si="362"/>
        <v>#DIV/0!</v>
      </c>
      <c r="GC197" s="39">
        <v>0</v>
      </c>
      <c r="GD197" s="485" t="e">
        <f t="shared" si="376"/>
        <v>#DIV/0!</v>
      </c>
      <c r="GE197" s="82"/>
      <c r="GF197" s="498"/>
      <c r="GG197" s="82">
        <f t="shared" si="438"/>
        <v>0</v>
      </c>
      <c r="GH197" s="498" t="e">
        <f t="shared" si="364"/>
        <v>#DIV/0!</v>
      </c>
      <c r="GI197" s="90">
        <f t="shared" si="365"/>
        <v>0</v>
      </c>
      <c r="GJ197" s="485" t="e">
        <f t="shared" si="366"/>
        <v>#DIV/0!</v>
      </c>
      <c r="GK197" s="90">
        <f t="shared" si="439"/>
        <v>0</v>
      </c>
      <c r="GL197" s="485" t="e">
        <f t="shared" si="368"/>
        <v>#DIV/0!</v>
      </c>
      <c r="GM197" s="90">
        <f t="shared" si="434"/>
        <v>0</v>
      </c>
      <c r="GN197" s="485" t="e">
        <f t="shared" si="370"/>
        <v>#DIV/0!</v>
      </c>
      <c r="GO197" s="90">
        <f t="shared" si="435"/>
        <v>0</v>
      </c>
      <c r="GP197" s="485" t="e">
        <f t="shared" si="372"/>
        <v>#DIV/0!</v>
      </c>
      <c r="GQ197" s="144"/>
      <c r="GR197" s="144"/>
      <c r="GS197" s="144"/>
      <c r="GT197" s="144"/>
      <c r="GU197" s="105">
        <f>GV197</f>
        <v>0</v>
      </c>
      <c r="GV197" s="105">
        <f>GV198+GV202</f>
        <v>0</v>
      </c>
      <c r="GW197" s="105"/>
      <c r="GX197" s="144"/>
      <c r="GY197" s="144"/>
      <c r="GZ197" s="144"/>
      <c r="HA197" s="144"/>
      <c r="HB197" s="144"/>
      <c r="HC197" s="144"/>
      <c r="HD197" s="144"/>
      <c r="HE197" s="144"/>
      <c r="HF197" s="144"/>
      <c r="HG197" s="105">
        <f>HH197</f>
        <v>0</v>
      </c>
      <c r="HH197" s="105">
        <f>HH198+HH202</f>
        <v>0</v>
      </c>
      <c r="HI197" s="105"/>
      <c r="HJ197" s="144"/>
      <c r="HK197" s="105">
        <f>HL197</f>
        <v>0</v>
      </c>
      <c r="HL197" s="105">
        <f>HL199+HL200+HL201</f>
        <v>0</v>
      </c>
      <c r="HM197" s="105"/>
      <c r="HN197" s="144"/>
      <c r="HO197" s="105">
        <f>HP197</f>
        <v>0</v>
      </c>
      <c r="HP197" s="105">
        <f>HP198+HP202</f>
        <v>0</v>
      </c>
      <c r="HQ197" s="105"/>
      <c r="HR197" s="144"/>
      <c r="HS197" s="105">
        <f>HT197</f>
        <v>0</v>
      </c>
      <c r="HT197" s="105">
        <f>HT198+HT202</f>
        <v>0</v>
      </c>
      <c r="HU197" s="105"/>
      <c r="HV197" s="144"/>
      <c r="HW197" s="105">
        <f>HX197</f>
        <v>0</v>
      </c>
      <c r="HX197" s="105">
        <f>HX199+HX200+HX201</f>
        <v>0</v>
      </c>
      <c r="HY197" s="105"/>
      <c r="HZ197" s="144"/>
      <c r="IA197" s="105">
        <f>IB197</f>
        <v>0</v>
      </c>
      <c r="IB197" s="105">
        <f>IB198+IB202</f>
        <v>0</v>
      </c>
      <c r="IC197" s="105"/>
      <c r="ID197" s="144"/>
      <c r="IE197" s="229" t="s">
        <v>300</v>
      </c>
      <c r="IF197" s="141"/>
      <c r="IG197" s="141"/>
      <c r="IH197" s="141"/>
      <c r="II197" s="202"/>
      <c r="IJ197" s="202"/>
      <c r="IK197" s="202"/>
      <c r="IL197" s="202"/>
      <c r="IM197" s="202"/>
      <c r="IN197" s="202"/>
      <c r="IO197" s="202"/>
    </row>
    <row r="198" spans="2:249" s="214" customFormat="1" ht="45.75" hidden="1" customHeight="1" x14ac:dyDescent="0.25">
      <c r="B198" s="100"/>
      <c r="C198" s="101" t="s">
        <v>131</v>
      </c>
      <c r="D198" s="102"/>
      <c r="E198" s="103"/>
      <c r="F198" s="103"/>
      <c r="G198" s="103"/>
      <c r="H198" s="143"/>
      <c r="I198" s="103"/>
      <c r="J198" s="103"/>
      <c r="K198" s="103"/>
      <c r="L198" s="103"/>
      <c r="M198" s="103"/>
      <c r="N198" s="143"/>
      <c r="O198" s="103"/>
      <c r="P198" s="103"/>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9"/>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10"/>
      <c r="BL198" s="106"/>
      <c r="BM198" s="105"/>
      <c r="BN198" s="105"/>
      <c r="BO198" s="105"/>
      <c r="BP198" s="105"/>
      <c r="BQ198" s="105"/>
      <c r="BR198" s="105"/>
      <c r="BS198" s="105"/>
      <c r="BT198" s="105"/>
      <c r="BU198" s="105"/>
      <c r="BV198" s="105"/>
      <c r="BW198" s="105"/>
      <c r="BX198" s="105"/>
      <c r="BY198" s="105"/>
      <c r="BZ198" s="105"/>
      <c r="CA198" s="105"/>
      <c r="CB198" s="105"/>
      <c r="CC198" s="105"/>
      <c r="CD198" s="105"/>
      <c r="CE198" s="106"/>
      <c r="CF198" s="106"/>
      <c r="CG198" s="105"/>
      <c r="CH198" s="105"/>
      <c r="CI198" s="105"/>
      <c r="CJ198" s="105"/>
      <c r="CK198" s="105"/>
      <c r="CL198" s="105"/>
      <c r="CM198" s="105"/>
      <c r="CN198" s="105"/>
      <c r="CO198" s="105"/>
      <c r="CP198" s="105"/>
      <c r="CQ198" s="105"/>
      <c r="CR198" s="105"/>
      <c r="CS198" s="105"/>
      <c r="CT198" s="105"/>
      <c r="CU198" s="105"/>
      <c r="CV198" s="105"/>
      <c r="CW198" s="105"/>
      <c r="CX198" s="105"/>
      <c r="CY198" s="105"/>
      <c r="CZ198" s="105"/>
      <c r="DA198" s="105"/>
      <c r="DB198" s="105"/>
      <c r="DC198" s="105"/>
      <c r="DD198" s="105"/>
      <c r="DE198" s="105"/>
      <c r="DF198" s="105"/>
      <c r="DG198" s="105"/>
      <c r="DH198" s="105"/>
      <c r="DI198" s="105"/>
      <c r="DJ198" s="105"/>
      <c r="DK198" s="105"/>
      <c r="DL198" s="105"/>
      <c r="DM198" s="105"/>
      <c r="DN198" s="105"/>
      <c r="DO198" s="105"/>
      <c r="DP198" s="105"/>
      <c r="DQ198" s="105"/>
      <c r="DR198" s="105"/>
      <c r="DS198" s="105"/>
      <c r="DT198" s="105"/>
      <c r="DU198" s="105"/>
      <c r="DV198" s="105"/>
      <c r="DW198" s="105"/>
      <c r="DX198" s="105"/>
      <c r="DY198" s="105"/>
      <c r="DZ198" s="105"/>
      <c r="EA198" s="105"/>
      <c r="EB198" s="105"/>
      <c r="EC198" s="105"/>
      <c r="ED198" s="105"/>
      <c r="EE198" s="105"/>
      <c r="EF198" s="105"/>
      <c r="EG198" s="105">
        <f>EH198</f>
        <v>0</v>
      </c>
      <c r="EH198" s="105">
        <f>SUM(EH199:EH201)</f>
        <v>0</v>
      </c>
      <c r="EI198" s="144"/>
      <c r="EJ198" s="144"/>
      <c r="EK198" s="105">
        <f>EL198</f>
        <v>0</v>
      </c>
      <c r="EL198" s="105">
        <f>SUM(EL199:EL201)</f>
        <v>0</v>
      </c>
      <c r="EM198" s="105"/>
      <c r="EN198" s="105"/>
      <c r="EO198" s="105"/>
      <c r="EP198" s="105"/>
      <c r="EQ198" s="105"/>
      <c r="ER198" s="105"/>
      <c r="ES198" s="105">
        <f>ET198</f>
        <v>0</v>
      </c>
      <c r="ET198" s="105"/>
      <c r="EU198" s="105"/>
      <c r="EV198" s="105"/>
      <c r="EW198" s="105"/>
      <c r="EX198" s="105"/>
      <c r="EY198" s="105"/>
      <c r="EZ198" s="105"/>
      <c r="FA198" s="105"/>
      <c r="FB198" s="105"/>
      <c r="FC198" s="103">
        <f>FD198</f>
        <v>0</v>
      </c>
      <c r="FD198" s="103">
        <f>SUM(FD199:FD201)</f>
        <v>0</v>
      </c>
      <c r="FE198" s="143"/>
      <c r="FF198" s="143"/>
      <c r="FG198" s="103">
        <f>FH198</f>
        <v>0</v>
      </c>
      <c r="FH198" s="103">
        <f>SUM(FH199:FH201)</f>
        <v>0</v>
      </c>
      <c r="FI198" s="103"/>
      <c r="FJ198" s="103"/>
      <c r="FK198" s="103"/>
      <c r="FL198" s="103"/>
      <c r="FM198" s="103"/>
      <c r="FN198" s="103"/>
      <c r="FO198" s="103">
        <f>FP198</f>
        <v>0</v>
      </c>
      <c r="FP198" s="103">
        <f>SUM(FP199:FP201)</f>
        <v>0</v>
      </c>
      <c r="FQ198" s="143"/>
      <c r="FR198" s="143"/>
      <c r="FS198" s="39">
        <f t="shared" si="338"/>
        <v>0</v>
      </c>
      <c r="FT198" s="485" t="e">
        <f t="shared" si="355"/>
        <v>#DIV/0!</v>
      </c>
      <c r="FU198" s="39">
        <v>0</v>
      </c>
      <c r="FV198" s="485" t="e">
        <f t="shared" si="356"/>
        <v>#DIV/0!</v>
      </c>
      <c r="FW198" s="38">
        <f t="shared" si="436"/>
        <v>0</v>
      </c>
      <c r="FX198" s="660" t="e">
        <f t="shared" si="358"/>
        <v>#DIV/0!</v>
      </c>
      <c r="FY198" s="39">
        <f t="shared" si="437"/>
        <v>0</v>
      </c>
      <c r="FZ198" s="660" t="e">
        <f t="shared" si="360"/>
        <v>#DIV/0!</v>
      </c>
      <c r="GA198" s="39">
        <f t="shared" si="361"/>
        <v>0</v>
      </c>
      <c r="GB198" s="485" t="e">
        <f t="shared" si="362"/>
        <v>#DIV/0!</v>
      </c>
      <c r="GC198" s="39">
        <v>0</v>
      </c>
      <c r="GD198" s="485" t="e">
        <f t="shared" si="376"/>
        <v>#DIV/0!</v>
      </c>
      <c r="GE198" s="82"/>
      <c r="GF198" s="498"/>
      <c r="GG198" s="82">
        <f t="shared" si="438"/>
        <v>0</v>
      </c>
      <c r="GH198" s="498" t="e">
        <f t="shared" si="364"/>
        <v>#DIV/0!</v>
      </c>
      <c r="GI198" s="90">
        <f t="shared" si="365"/>
        <v>0</v>
      </c>
      <c r="GJ198" s="485" t="e">
        <f t="shared" si="366"/>
        <v>#DIV/0!</v>
      </c>
      <c r="GK198" s="90">
        <f t="shared" si="439"/>
        <v>0</v>
      </c>
      <c r="GL198" s="485" t="e">
        <f t="shared" si="368"/>
        <v>#DIV/0!</v>
      </c>
      <c r="GM198" s="90">
        <f t="shared" si="434"/>
        <v>0</v>
      </c>
      <c r="GN198" s="485" t="e">
        <f t="shared" si="370"/>
        <v>#DIV/0!</v>
      </c>
      <c r="GO198" s="90">
        <f t="shared" si="435"/>
        <v>0</v>
      </c>
      <c r="GP198" s="485" t="e">
        <f t="shared" si="372"/>
        <v>#DIV/0!</v>
      </c>
      <c r="GQ198" s="144"/>
      <c r="GR198" s="144"/>
      <c r="GS198" s="144"/>
      <c r="GT198" s="144"/>
      <c r="GU198" s="105">
        <f>GV198</f>
        <v>0</v>
      </c>
      <c r="GV198" s="105">
        <f>SUM(GV199:GV201)</f>
        <v>0</v>
      </c>
      <c r="GW198" s="144"/>
      <c r="GX198" s="144"/>
      <c r="GY198" s="144"/>
      <c r="GZ198" s="144"/>
      <c r="HA198" s="144"/>
      <c r="HB198" s="144"/>
      <c r="HC198" s="144"/>
      <c r="HD198" s="144"/>
      <c r="HE198" s="144"/>
      <c r="HF198" s="144"/>
      <c r="HG198" s="105">
        <f>HH198</f>
        <v>0</v>
      </c>
      <c r="HH198" s="105">
        <f>SUM(HH199:HH201)</f>
        <v>0</v>
      </c>
      <c r="HI198" s="144"/>
      <c r="HJ198" s="144"/>
      <c r="HK198" s="105"/>
      <c r="HL198" s="105"/>
      <c r="HM198" s="144"/>
      <c r="HN198" s="144"/>
      <c r="HO198" s="105">
        <f>HP198</f>
        <v>0</v>
      </c>
      <c r="HP198" s="105">
        <f>SUM(HP199:HP201)</f>
        <v>0</v>
      </c>
      <c r="HQ198" s="144"/>
      <c r="HR198" s="144"/>
      <c r="HS198" s="105">
        <f>HT198</f>
        <v>0</v>
      </c>
      <c r="HT198" s="105">
        <f>SUM(HT199:HT201)</f>
        <v>0</v>
      </c>
      <c r="HU198" s="144"/>
      <c r="HV198" s="144"/>
      <c r="HW198" s="105"/>
      <c r="HX198" s="105"/>
      <c r="HY198" s="144"/>
      <c r="HZ198" s="144"/>
      <c r="IA198" s="105">
        <f>IB198</f>
        <v>0</v>
      </c>
      <c r="IB198" s="105">
        <f>SUM(IB199:IB201)</f>
        <v>0</v>
      </c>
      <c r="IC198" s="144"/>
      <c r="ID198" s="144"/>
      <c r="IE198" s="198"/>
      <c r="IF198" s="141"/>
      <c r="IG198" s="141"/>
      <c r="IH198" s="141"/>
      <c r="II198" s="202"/>
      <c r="IJ198" s="202"/>
      <c r="IK198" s="202"/>
      <c r="IL198" s="202"/>
      <c r="IM198" s="202"/>
      <c r="IN198" s="202"/>
      <c r="IO198" s="202"/>
    </row>
    <row r="199" spans="2:249" s="214" customFormat="1" ht="33.75" hidden="1" customHeight="1" x14ac:dyDescent="0.25">
      <c r="B199" s="100"/>
      <c r="C199" s="161" t="s">
        <v>146</v>
      </c>
      <c r="D199" s="102"/>
      <c r="E199" s="103"/>
      <c r="F199" s="103"/>
      <c r="G199" s="103"/>
      <c r="H199" s="143"/>
      <c r="I199" s="103"/>
      <c r="J199" s="103"/>
      <c r="K199" s="103"/>
      <c r="L199" s="103"/>
      <c r="M199" s="103"/>
      <c r="N199" s="143"/>
      <c r="O199" s="103"/>
      <c r="P199" s="103"/>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9"/>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10"/>
      <c r="BL199" s="106"/>
      <c r="BM199" s="105"/>
      <c r="BN199" s="105"/>
      <c r="BO199" s="105"/>
      <c r="BP199" s="105"/>
      <c r="BQ199" s="105"/>
      <c r="BR199" s="105"/>
      <c r="BS199" s="105"/>
      <c r="BT199" s="105"/>
      <c r="BU199" s="105"/>
      <c r="BV199" s="105"/>
      <c r="BW199" s="105"/>
      <c r="BX199" s="105"/>
      <c r="BY199" s="105"/>
      <c r="BZ199" s="105"/>
      <c r="CA199" s="105"/>
      <c r="CB199" s="105"/>
      <c r="CC199" s="105"/>
      <c r="CD199" s="105"/>
      <c r="CE199" s="106"/>
      <c r="CF199" s="106"/>
      <c r="CG199" s="105"/>
      <c r="CH199" s="105"/>
      <c r="CI199" s="105"/>
      <c r="CJ199" s="105"/>
      <c r="CK199" s="105"/>
      <c r="CL199" s="105"/>
      <c r="CM199" s="105"/>
      <c r="CN199" s="105"/>
      <c r="CO199" s="105"/>
      <c r="CP199" s="105"/>
      <c r="CQ199" s="105"/>
      <c r="CR199" s="105"/>
      <c r="CS199" s="105"/>
      <c r="CT199" s="105"/>
      <c r="CU199" s="105"/>
      <c r="CV199" s="105"/>
      <c r="CW199" s="144">
        <f>CX199</f>
        <v>0</v>
      </c>
      <c r="CX199" s="144">
        <v>0</v>
      </c>
      <c r="CY199" s="105"/>
      <c r="CZ199" s="105"/>
      <c r="DA199" s="105"/>
      <c r="DB199" s="105"/>
      <c r="DC199" s="105"/>
      <c r="DD199" s="105"/>
      <c r="DE199" s="105"/>
      <c r="DF199" s="144">
        <f>DG199+DH199</f>
        <v>58940.349260000003</v>
      </c>
      <c r="DG199" s="144">
        <f>DJ199-CX199</f>
        <v>58940.349260000003</v>
      </c>
      <c r="DH199" s="105"/>
      <c r="DI199" s="144">
        <f>DJ199</f>
        <v>58940.349260000003</v>
      </c>
      <c r="DJ199" s="144">
        <f>CX177</f>
        <v>58940.349260000003</v>
      </c>
      <c r="DK199" s="105"/>
      <c r="DL199" s="105"/>
      <c r="DM199" s="105"/>
      <c r="DN199" s="105"/>
      <c r="DO199" s="105"/>
      <c r="DP199" s="105"/>
      <c r="DQ199" s="105"/>
      <c r="DR199" s="105"/>
      <c r="DS199" s="105"/>
      <c r="DT199" s="105"/>
      <c r="DU199" s="144">
        <f>DV199</f>
        <v>0</v>
      </c>
      <c r="DV199" s="144">
        <v>0</v>
      </c>
      <c r="DW199" s="105"/>
      <c r="DX199" s="105"/>
      <c r="DY199" s="105"/>
      <c r="DZ199" s="105"/>
      <c r="EA199" s="105"/>
      <c r="EB199" s="105"/>
      <c r="EC199" s="105"/>
      <c r="ED199" s="144">
        <f>EE199+EF199</f>
        <v>0</v>
      </c>
      <c r="EE199" s="144">
        <f>EH199-DV199</f>
        <v>0</v>
      </c>
      <c r="EF199" s="105"/>
      <c r="EG199" s="144">
        <f>EH199</f>
        <v>0</v>
      </c>
      <c r="EH199" s="144">
        <v>0</v>
      </c>
      <c r="EI199" s="144"/>
      <c r="EJ199" s="144"/>
      <c r="EK199" s="144">
        <f>EL199</f>
        <v>0</v>
      </c>
      <c r="EL199" s="144">
        <f>ET199-EH199</f>
        <v>0</v>
      </c>
      <c r="EM199" s="105"/>
      <c r="EN199" s="105"/>
      <c r="EO199" s="105"/>
      <c r="EP199" s="105"/>
      <c r="EQ199" s="105"/>
      <c r="ER199" s="105"/>
      <c r="ES199" s="144">
        <f>ET199</f>
        <v>0</v>
      </c>
      <c r="ET199" s="144"/>
      <c r="EU199" s="144"/>
      <c r="EV199" s="105"/>
      <c r="EW199" s="144">
        <f>EX199</f>
        <v>0</v>
      </c>
      <c r="EX199" s="144">
        <v>0</v>
      </c>
      <c r="EY199" s="105"/>
      <c r="EZ199" s="144" t="e">
        <f>FA199+FB199</f>
        <v>#REF!</v>
      </c>
      <c r="FA199" s="144" t="e">
        <f>FD199-#REF!</f>
        <v>#REF!</v>
      </c>
      <c r="FB199" s="105"/>
      <c r="FC199" s="143">
        <f>FD199</f>
        <v>0</v>
      </c>
      <c r="FD199" s="143">
        <v>0</v>
      </c>
      <c r="FE199" s="143"/>
      <c r="FF199" s="143"/>
      <c r="FG199" s="143">
        <f>FH199</f>
        <v>0</v>
      </c>
      <c r="FH199" s="143">
        <f>FP199-FD199</f>
        <v>0</v>
      </c>
      <c r="FI199" s="103"/>
      <c r="FJ199" s="103"/>
      <c r="FK199" s="103"/>
      <c r="FL199" s="103"/>
      <c r="FM199" s="103"/>
      <c r="FN199" s="103"/>
      <c r="FO199" s="143">
        <f>FP199</f>
        <v>0</v>
      </c>
      <c r="FP199" s="143">
        <v>0</v>
      </c>
      <c r="FQ199" s="143"/>
      <c r="FR199" s="143"/>
      <c r="FS199" s="39">
        <f t="shared" si="338"/>
        <v>0</v>
      </c>
      <c r="FT199" s="485" t="e">
        <f t="shared" si="355"/>
        <v>#DIV/0!</v>
      </c>
      <c r="FU199" s="39">
        <v>0</v>
      </c>
      <c r="FV199" s="485" t="e">
        <f t="shared" si="356"/>
        <v>#DIV/0!</v>
      </c>
      <c r="FW199" s="38">
        <f t="shared" si="436"/>
        <v>0</v>
      </c>
      <c r="FX199" s="660" t="e">
        <f t="shared" si="358"/>
        <v>#DIV/0!</v>
      </c>
      <c r="FY199" s="39">
        <f t="shared" si="437"/>
        <v>0</v>
      </c>
      <c r="FZ199" s="660" t="e">
        <f t="shared" si="360"/>
        <v>#DIV/0!</v>
      </c>
      <c r="GA199" s="39">
        <f t="shared" si="361"/>
        <v>0</v>
      </c>
      <c r="GB199" s="485" t="e">
        <f t="shared" si="362"/>
        <v>#DIV/0!</v>
      </c>
      <c r="GC199" s="39">
        <v>0</v>
      </c>
      <c r="GD199" s="485" t="e">
        <f t="shared" si="376"/>
        <v>#DIV/0!</v>
      </c>
      <c r="GE199" s="82"/>
      <c r="GF199" s="498"/>
      <c r="GG199" s="82">
        <f t="shared" si="438"/>
        <v>0</v>
      </c>
      <c r="GH199" s="498" t="e">
        <f t="shared" si="364"/>
        <v>#DIV/0!</v>
      </c>
      <c r="GI199" s="90">
        <f t="shared" si="365"/>
        <v>0</v>
      </c>
      <c r="GJ199" s="485" t="e">
        <f t="shared" si="366"/>
        <v>#DIV/0!</v>
      </c>
      <c r="GK199" s="90">
        <f t="shared" si="439"/>
        <v>0</v>
      </c>
      <c r="GL199" s="485" t="e">
        <f t="shared" si="368"/>
        <v>#DIV/0!</v>
      </c>
      <c r="GM199" s="90">
        <f t="shared" si="434"/>
        <v>0</v>
      </c>
      <c r="GN199" s="485" t="e">
        <f t="shared" si="370"/>
        <v>#DIV/0!</v>
      </c>
      <c r="GO199" s="90">
        <f t="shared" si="435"/>
        <v>0</v>
      </c>
      <c r="GP199" s="485" t="e">
        <f t="shared" si="372"/>
        <v>#DIV/0!</v>
      </c>
      <c r="GQ199" s="144"/>
      <c r="GR199" s="144"/>
      <c r="GS199" s="144"/>
      <c r="GT199" s="144"/>
      <c r="GU199" s="144">
        <f>GV199</f>
        <v>0</v>
      </c>
      <c r="GV199" s="144">
        <v>0</v>
      </c>
      <c r="GW199" s="144"/>
      <c r="GX199" s="144"/>
      <c r="GY199" s="144"/>
      <c r="GZ199" s="144"/>
      <c r="HA199" s="144"/>
      <c r="HB199" s="144"/>
      <c r="HC199" s="144"/>
      <c r="HD199" s="144"/>
      <c r="HE199" s="144"/>
      <c r="HF199" s="144"/>
      <c r="HG199" s="144">
        <f>HH199</f>
        <v>0</v>
      </c>
      <c r="HH199" s="144">
        <f>HP199-GV199</f>
        <v>0</v>
      </c>
      <c r="HI199" s="144"/>
      <c r="HJ199" s="144"/>
      <c r="HK199" s="144">
        <f>HL199</f>
        <v>0</v>
      </c>
      <c r="HL199" s="144">
        <f>IF199-GZ199</f>
        <v>0</v>
      </c>
      <c r="HM199" s="144"/>
      <c r="HN199" s="144"/>
      <c r="HO199" s="144">
        <f>HP199</f>
        <v>0</v>
      </c>
      <c r="HP199" s="144">
        <v>0</v>
      </c>
      <c r="HQ199" s="144"/>
      <c r="HR199" s="144"/>
      <c r="HS199" s="144">
        <f>HT199</f>
        <v>0</v>
      </c>
      <c r="HT199" s="144">
        <v>0</v>
      </c>
      <c r="HU199" s="144"/>
      <c r="HV199" s="144"/>
      <c r="HW199" s="144">
        <f>HX199</f>
        <v>0</v>
      </c>
      <c r="HX199" s="144">
        <f>IR199-HL199</f>
        <v>0</v>
      </c>
      <c r="HY199" s="144"/>
      <c r="HZ199" s="144"/>
      <c r="IA199" s="144">
        <f>IB199</f>
        <v>0</v>
      </c>
      <c r="IB199" s="144">
        <v>0</v>
      </c>
      <c r="IC199" s="144"/>
      <c r="ID199" s="144"/>
      <c r="IE199" s="216"/>
      <c r="IF199" s="141"/>
      <c r="IG199" s="141"/>
      <c r="IH199" s="141"/>
      <c r="II199" s="202"/>
      <c r="IJ199" s="202"/>
      <c r="IK199" s="202"/>
      <c r="IL199" s="202"/>
      <c r="IM199" s="202"/>
      <c r="IN199" s="202"/>
      <c r="IO199" s="202"/>
    </row>
    <row r="200" spans="2:249" s="214" customFormat="1" ht="40.5" hidden="1" customHeight="1" x14ac:dyDescent="0.25">
      <c r="B200" s="100"/>
      <c r="C200" s="161" t="s">
        <v>161</v>
      </c>
      <c r="D200" s="102"/>
      <c r="E200" s="103"/>
      <c r="F200" s="103"/>
      <c r="G200" s="103"/>
      <c r="H200" s="143"/>
      <c r="I200" s="103"/>
      <c r="J200" s="103"/>
      <c r="K200" s="103"/>
      <c r="L200" s="103"/>
      <c r="M200" s="103"/>
      <c r="N200" s="143"/>
      <c r="O200" s="103"/>
      <c r="P200" s="103"/>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9"/>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10"/>
      <c r="BL200" s="106"/>
      <c r="BM200" s="105"/>
      <c r="BN200" s="105"/>
      <c r="BO200" s="105"/>
      <c r="BP200" s="105"/>
      <c r="BQ200" s="105"/>
      <c r="BR200" s="105"/>
      <c r="BS200" s="105"/>
      <c r="BT200" s="105"/>
      <c r="BU200" s="105"/>
      <c r="BV200" s="105"/>
      <c r="BW200" s="105"/>
      <c r="BX200" s="105"/>
      <c r="BY200" s="105"/>
      <c r="BZ200" s="105"/>
      <c r="CA200" s="105"/>
      <c r="CB200" s="105"/>
      <c r="CC200" s="105"/>
      <c r="CD200" s="105"/>
      <c r="CE200" s="106"/>
      <c r="CF200" s="106"/>
      <c r="CG200" s="105"/>
      <c r="CH200" s="105"/>
      <c r="CI200" s="105"/>
      <c r="CJ200" s="105"/>
      <c r="CK200" s="105"/>
      <c r="CL200" s="105"/>
      <c r="CM200" s="105"/>
      <c r="CN200" s="105"/>
      <c r="CO200" s="105"/>
      <c r="CP200" s="105"/>
      <c r="CQ200" s="105"/>
      <c r="CR200" s="105"/>
      <c r="CS200" s="105"/>
      <c r="CT200" s="105"/>
      <c r="CU200" s="105"/>
      <c r="CV200" s="105"/>
      <c r="CW200" s="144">
        <f>CX200</f>
        <v>0</v>
      </c>
      <c r="CX200" s="144">
        <v>0</v>
      </c>
      <c r="CY200" s="105"/>
      <c r="CZ200" s="105"/>
      <c r="DA200" s="105"/>
      <c r="DB200" s="105"/>
      <c r="DC200" s="105"/>
      <c r="DD200" s="105"/>
      <c r="DE200" s="105"/>
      <c r="DF200" s="144">
        <f>DG200+DH200</f>
        <v>46525.871030000002</v>
      </c>
      <c r="DG200" s="144">
        <f>DJ200-CX200</f>
        <v>46525.871030000002</v>
      </c>
      <c r="DH200" s="105"/>
      <c r="DI200" s="144">
        <f>DJ200</f>
        <v>46525.871030000002</v>
      </c>
      <c r="DJ200" s="144">
        <f>CX178</f>
        <v>46525.871030000002</v>
      </c>
      <c r="DK200" s="105"/>
      <c r="DL200" s="105"/>
      <c r="DM200" s="105"/>
      <c r="DN200" s="105"/>
      <c r="DO200" s="105"/>
      <c r="DP200" s="105"/>
      <c r="DQ200" s="105"/>
      <c r="DR200" s="105"/>
      <c r="DS200" s="105"/>
      <c r="DT200" s="105"/>
      <c r="DU200" s="144">
        <f>DV200</f>
        <v>0</v>
      </c>
      <c r="DV200" s="144">
        <v>0</v>
      </c>
      <c r="DW200" s="105"/>
      <c r="DX200" s="105"/>
      <c r="DY200" s="105"/>
      <c r="DZ200" s="105"/>
      <c r="EA200" s="105"/>
      <c r="EB200" s="105"/>
      <c r="EC200" s="105"/>
      <c r="ED200" s="144">
        <f>EE200+EF200</f>
        <v>0</v>
      </c>
      <c r="EE200" s="144">
        <f>EH200-DV200</f>
        <v>0</v>
      </c>
      <c r="EF200" s="105"/>
      <c r="EG200" s="144">
        <f>EH200</f>
        <v>0</v>
      </c>
      <c r="EH200" s="144">
        <v>0</v>
      </c>
      <c r="EI200" s="144"/>
      <c r="EJ200" s="144"/>
      <c r="EK200" s="144">
        <f>EL200</f>
        <v>0</v>
      </c>
      <c r="EL200" s="144">
        <f>ET200-EH200</f>
        <v>0</v>
      </c>
      <c r="EM200" s="105"/>
      <c r="EN200" s="105"/>
      <c r="EO200" s="105"/>
      <c r="EP200" s="105"/>
      <c r="EQ200" s="105"/>
      <c r="ER200" s="105"/>
      <c r="ES200" s="144">
        <f>ET200</f>
        <v>0</v>
      </c>
      <c r="ET200" s="144"/>
      <c r="EU200" s="144"/>
      <c r="EV200" s="105"/>
      <c r="EW200" s="144">
        <f>EX200</f>
        <v>0</v>
      </c>
      <c r="EX200" s="144">
        <v>0</v>
      </c>
      <c r="EY200" s="105"/>
      <c r="EZ200" s="144" t="e">
        <f>FA200+FB200</f>
        <v>#REF!</v>
      </c>
      <c r="FA200" s="144" t="e">
        <f>FD200-#REF!</f>
        <v>#REF!</v>
      </c>
      <c r="FB200" s="105"/>
      <c r="FC200" s="143">
        <f>FD200</f>
        <v>0</v>
      </c>
      <c r="FD200" s="143">
        <v>0</v>
      </c>
      <c r="FE200" s="143"/>
      <c r="FF200" s="143"/>
      <c r="FG200" s="143">
        <f>FH200</f>
        <v>0</v>
      </c>
      <c r="FH200" s="143">
        <f>FP200-FD200</f>
        <v>0</v>
      </c>
      <c r="FI200" s="103"/>
      <c r="FJ200" s="103"/>
      <c r="FK200" s="103"/>
      <c r="FL200" s="103"/>
      <c r="FM200" s="103"/>
      <c r="FN200" s="103"/>
      <c r="FO200" s="143">
        <f>FP200</f>
        <v>0</v>
      </c>
      <c r="FP200" s="143">
        <v>0</v>
      </c>
      <c r="FQ200" s="143"/>
      <c r="FR200" s="143"/>
      <c r="FS200" s="39">
        <f t="shared" si="338"/>
        <v>0</v>
      </c>
      <c r="FT200" s="485" t="e">
        <f t="shared" si="355"/>
        <v>#DIV/0!</v>
      </c>
      <c r="FU200" s="39">
        <v>0</v>
      </c>
      <c r="FV200" s="485" t="e">
        <f t="shared" si="356"/>
        <v>#DIV/0!</v>
      </c>
      <c r="FW200" s="38">
        <f t="shared" si="436"/>
        <v>0</v>
      </c>
      <c r="FX200" s="660" t="e">
        <f t="shared" si="358"/>
        <v>#DIV/0!</v>
      </c>
      <c r="FY200" s="39">
        <f t="shared" si="437"/>
        <v>0</v>
      </c>
      <c r="FZ200" s="660" t="e">
        <f t="shared" si="360"/>
        <v>#DIV/0!</v>
      </c>
      <c r="GA200" s="39">
        <f t="shared" si="361"/>
        <v>0</v>
      </c>
      <c r="GB200" s="485" t="e">
        <f t="shared" si="362"/>
        <v>#DIV/0!</v>
      </c>
      <c r="GC200" s="39">
        <v>0</v>
      </c>
      <c r="GD200" s="485" t="e">
        <f t="shared" si="376"/>
        <v>#DIV/0!</v>
      </c>
      <c r="GE200" s="82"/>
      <c r="GF200" s="498"/>
      <c r="GG200" s="82">
        <f t="shared" si="438"/>
        <v>0</v>
      </c>
      <c r="GH200" s="498" t="e">
        <f t="shared" si="364"/>
        <v>#DIV/0!</v>
      </c>
      <c r="GI200" s="90">
        <f t="shared" si="365"/>
        <v>0</v>
      </c>
      <c r="GJ200" s="485" t="e">
        <f t="shared" si="366"/>
        <v>#DIV/0!</v>
      </c>
      <c r="GK200" s="90">
        <f t="shared" si="439"/>
        <v>0</v>
      </c>
      <c r="GL200" s="485" t="e">
        <f t="shared" si="368"/>
        <v>#DIV/0!</v>
      </c>
      <c r="GM200" s="90">
        <f t="shared" si="434"/>
        <v>0</v>
      </c>
      <c r="GN200" s="485" t="e">
        <f t="shared" si="370"/>
        <v>#DIV/0!</v>
      </c>
      <c r="GO200" s="90">
        <f t="shared" si="435"/>
        <v>0</v>
      </c>
      <c r="GP200" s="485" t="e">
        <f t="shared" si="372"/>
        <v>#DIV/0!</v>
      </c>
      <c r="GQ200" s="144"/>
      <c r="GR200" s="144"/>
      <c r="GS200" s="144"/>
      <c r="GT200" s="144"/>
      <c r="GU200" s="144">
        <f>GV200</f>
        <v>0</v>
      </c>
      <c r="GV200" s="144">
        <v>0</v>
      </c>
      <c r="GW200" s="144"/>
      <c r="GX200" s="144"/>
      <c r="GY200" s="144"/>
      <c r="GZ200" s="144"/>
      <c r="HA200" s="144"/>
      <c r="HB200" s="144"/>
      <c r="HC200" s="144"/>
      <c r="HD200" s="144"/>
      <c r="HE200" s="144"/>
      <c r="HF200" s="144"/>
      <c r="HG200" s="144">
        <f>HH200</f>
        <v>0</v>
      </c>
      <c r="HH200" s="144">
        <f>HP200-GV200</f>
        <v>0</v>
      </c>
      <c r="HI200" s="144"/>
      <c r="HJ200" s="144"/>
      <c r="HK200" s="144">
        <f>HL200</f>
        <v>0</v>
      </c>
      <c r="HL200" s="144">
        <f>IF200-GZ200</f>
        <v>0</v>
      </c>
      <c r="HM200" s="144"/>
      <c r="HN200" s="144"/>
      <c r="HO200" s="144">
        <f>HP200</f>
        <v>0</v>
      </c>
      <c r="HP200" s="144">
        <v>0</v>
      </c>
      <c r="HQ200" s="144"/>
      <c r="HR200" s="144"/>
      <c r="HS200" s="144">
        <f>HT200</f>
        <v>0</v>
      </c>
      <c r="HT200" s="144">
        <v>0</v>
      </c>
      <c r="HU200" s="144"/>
      <c r="HV200" s="144"/>
      <c r="HW200" s="144">
        <f>HX200</f>
        <v>0</v>
      </c>
      <c r="HX200" s="144">
        <f>IR200-HL200</f>
        <v>0</v>
      </c>
      <c r="HY200" s="144"/>
      <c r="HZ200" s="144"/>
      <c r="IA200" s="144">
        <f>IB200</f>
        <v>0</v>
      </c>
      <c r="IB200" s="144">
        <v>0</v>
      </c>
      <c r="IC200" s="144"/>
      <c r="ID200" s="144"/>
      <c r="IE200" s="216"/>
      <c r="IF200" s="141"/>
      <c r="IG200" s="141"/>
      <c r="IH200" s="141"/>
      <c r="II200" s="202"/>
      <c r="IJ200" s="202"/>
      <c r="IK200" s="202"/>
      <c r="IL200" s="202"/>
      <c r="IM200" s="202"/>
      <c r="IN200" s="202"/>
      <c r="IO200" s="202"/>
    </row>
    <row r="201" spans="2:249" s="214" customFormat="1" ht="28.5" hidden="1" customHeight="1" x14ac:dyDescent="0.25">
      <c r="B201" s="100"/>
      <c r="C201" s="161" t="s">
        <v>172</v>
      </c>
      <c r="D201" s="102"/>
      <c r="E201" s="103"/>
      <c r="F201" s="103"/>
      <c r="G201" s="103"/>
      <c r="H201" s="143"/>
      <c r="I201" s="103"/>
      <c r="J201" s="103"/>
      <c r="K201" s="103"/>
      <c r="L201" s="103"/>
      <c r="M201" s="103"/>
      <c r="N201" s="143"/>
      <c r="O201" s="103"/>
      <c r="P201" s="103"/>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9"/>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10"/>
      <c r="BL201" s="106"/>
      <c r="BM201" s="105"/>
      <c r="BN201" s="105"/>
      <c r="BO201" s="105"/>
      <c r="BP201" s="105"/>
      <c r="BQ201" s="105"/>
      <c r="BR201" s="105"/>
      <c r="BS201" s="105"/>
      <c r="BT201" s="105"/>
      <c r="BU201" s="105"/>
      <c r="BV201" s="105"/>
      <c r="BW201" s="105"/>
      <c r="BX201" s="105"/>
      <c r="BY201" s="105"/>
      <c r="BZ201" s="105"/>
      <c r="CA201" s="105"/>
      <c r="CB201" s="105"/>
      <c r="CC201" s="105"/>
      <c r="CD201" s="105"/>
      <c r="CE201" s="106"/>
      <c r="CF201" s="106"/>
      <c r="CG201" s="105"/>
      <c r="CH201" s="105"/>
      <c r="CI201" s="105"/>
      <c r="CJ201" s="105"/>
      <c r="CK201" s="105"/>
      <c r="CL201" s="105"/>
      <c r="CM201" s="105"/>
      <c r="CN201" s="105"/>
      <c r="CO201" s="105"/>
      <c r="CP201" s="105"/>
      <c r="CQ201" s="105"/>
      <c r="CR201" s="105"/>
      <c r="CS201" s="105"/>
      <c r="CT201" s="105"/>
      <c r="CU201" s="105"/>
      <c r="CV201" s="105"/>
      <c r="CW201" s="144">
        <f>CX201</f>
        <v>0</v>
      </c>
      <c r="CX201" s="144">
        <v>0</v>
      </c>
      <c r="CY201" s="105"/>
      <c r="CZ201" s="105"/>
      <c r="DA201" s="105"/>
      <c r="DB201" s="105"/>
      <c r="DC201" s="105"/>
      <c r="DD201" s="105"/>
      <c r="DE201" s="105"/>
      <c r="DF201" s="144">
        <f>DG201+DH201</f>
        <v>48995.860180000003</v>
      </c>
      <c r="DG201" s="144">
        <f>DJ201-CX201</f>
        <v>48995.860180000003</v>
      </c>
      <c r="DH201" s="105"/>
      <c r="DI201" s="144">
        <f>DJ201</f>
        <v>48995.860180000003</v>
      </c>
      <c r="DJ201" s="144">
        <f>CX179</f>
        <v>48995.860180000003</v>
      </c>
      <c r="DK201" s="105"/>
      <c r="DL201" s="105"/>
      <c r="DM201" s="105"/>
      <c r="DN201" s="105"/>
      <c r="DO201" s="105"/>
      <c r="DP201" s="105"/>
      <c r="DQ201" s="105"/>
      <c r="DR201" s="105"/>
      <c r="DS201" s="105"/>
      <c r="DT201" s="105"/>
      <c r="DU201" s="144">
        <f>DV201</f>
        <v>0</v>
      </c>
      <c r="DV201" s="144">
        <v>0</v>
      </c>
      <c r="DW201" s="105"/>
      <c r="DX201" s="105"/>
      <c r="DY201" s="105"/>
      <c r="DZ201" s="105"/>
      <c r="EA201" s="105"/>
      <c r="EB201" s="105"/>
      <c r="EC201" s="105"/>
      <c r="ED201" s="144">
        <f>EE201+EF201</f>
        <v>0</v>
      </c>
      <c r="EE201" s="144">
        <f>EH201-DV201</f>
        <v>0</v>
      </c>
      <c r="EF201" s="105"/>
      <c r="EG201" s="144">
        <f>EH201</f>
        <v>0</v>
      </c>
      <c r="EH201" s="144">
        <v>0</v>
      </c>
      <c r="EI201" s="144"/>
      <c r="EJ201" s="144"/>
      <c r="EK201" s="144">
        <f>EL201</f>
        <v>0</v>
      </c>
      <c r="EL201" s="144">
        <f>ET201-EH201</f>
        <v>0</v>
      </c>
      <c r="EM201" s="105"/>
      <c r="EN201" s="105"/>
      <c r="EO201" s="105"/>
      <c r="EP201" s="105"/>
      <c r="EQ201" s="105"/>
      <c r="ER201" s="105"/>
      <c r="ES201" s="144">
        <f>ET201</f>
        <v>0</v>
      </c>
      <c r="ET201" s="144"/>
      <c r="EU201" s="144"/>
      <c r="EV201" s="105"/>
      <c r="EW201" s="144">
        <f>EX201</f>
        <v>0</v>
      </c>
      <c r="EX201" s="144">
        <v>0</v>
      </c>
      <c r="EY201" s="105"/>
      <c r="EZ201" s="144" t="e">
        <f>FA201+FB201</f>
        <v>#REF!</v>
      </c>
      <c r="FA201" s="144" t="e">
        <f>FD201-#REF!</f>
        <v>#REF!</v>
      </c>
      <c r="FB201" s="105"/>
      <c r="FC201" s="143">
        <f>FD201</f>
        <v>0</v>
      </c>
      <c r="FD201" s="143">
        <v>0</v>
      </c>
      <c r="FE201" s="143"/>
      <c r="FF201" s="143"/>
      <c r="FG201" s="143">
        <f>FH201</f>
        <v>0</v>
      </c>
      <c r="FH201" s="143">
        <f>FP201-FD201</f>
        <v>0</v>
      </c>
      <c r="FI201" s="103"/>
      <c r="FJ201" s="103"/>
      <c r="FK201" s="103"/>
      <c r="FL201" s="103"/>
      <c r="FM201" s="103"/>
      <c r="FN201" s="103"/>
      <c r="FO201" s="143">
        <f>FP201</f>
        <v>0</v>
      </c>
      <c r="FP201" s="143">
        <v>0</v>
      </c>
      <c r="FQ201" s="143"/>
      <c r="FR201" s="143"/>
      <c r="FS201" s="39">
        <f t="shared" si="338"/>
        <v>0</v>
      </c>
      <c r="FT201" s="485" t="e">
        <f t="shared" si="355"/>
        <v>#DIV/0!</v>
      </c>
      <c r="FU201" s="39">
        <v>0</v>
      </c>
      <c r="FV201" s="485" t="e">
        <f t="shared" si="356"/>
        <v>#DIV/0!</v>
      </c>
      <c r="FW201" s="38">
        <f t="shared" si="436"/>
        <v>0</v>
      </c>
      <c r="FX201" s="660" t="e">
        <f t="shared" si="358"/>
        <v>#DIV/0!</v>
      </c>
      <c r="FY201" s="39">
        <f t="shared" si="437"/>
        <v>0</v>
      </c>
      <c r="FZ201" s="660" t="e">
        <f t="shared" si="360"/>
        <v>#DIV/0!</v>
      </c>
      <c r="GA201" s="39">
        <f t="shared" si="361"/>
        <v>0</v>
      </c>
      <c r="GB201" s="485" t="e">
        <f t="shared" si="362"/>
        <v>#DIV/0!</v>
      </c>
      <c r="GC201" s="39">
        <v>0</v>
      </c>
      <c r="GD201" s="485" t="e">
        <f t="shared" si="376"/>
        <v>#DIV/0!</v>
      </c>
      <c r="GE201" s="82"/>
      <c r="GF201" s="498"/>
      <c r="GG201" s="82">
        <f t="shared" si="438"/>
        <v>0</v>
      </c>
      <c r="GH201" s="498" t="e">
        <f t="shared" si="364"/>
        <v>#DIV/0!</v>
      </c>
      <c r="GI201" s="90">
        <f t="shared" si="365"/>
        <v>0</v>
      </c>
      <c r="GJ201" s="485" t="e">
        <f t="shared" si="366"/>
        <v>#DIV/0!</v>
      </c>
      <c r="GK201" s="90">
        <f t="shared" si="439"/>
        <v>0</v>
      </c>
      <c r="GL201" s="485" t="e">
        <f t="shared" si="368"/>
        <v>#DIV/0!</v>
      </c>
      <c r="GM201" s="90">
        <f t="shared" si="434"/>
        <v>0</v>
      </c>
      <c r="GN201" s="485" t="e">
        <f t="shared" si="370"/>
        <v>#DIV/0!</v>
      </c>
      <c r="GO201" s="90">
        <f t="shared" si="435"/>
        <v>0</v>
      </c>
      <c r="GP201" s="485" t="e">
        <f t="shared" si="372"/>
        <v>#DIV/0!</v>
      </c>
      <c r="GQ201" s="144"/>
      <c r="GR201" s="144"/>
      <c r="GS201" s="144"/>
      <c r="GT201" s="144"/>
      <c r="GU201" s="144">
        <f>GV201</f>
        <v>0</v>
      </c>
      <c r="GV201" s="144">
        <v>0</v>
      </c>
      <c r="GW201" s="144"/>
      <c r="GX201" s="144"/>
      <c r="GY201" s="144"/>
      <c r="GZ201" s="144"/>
      <c r="HA201" s="144"/>
      <c r="HB201" s="144"/>
      <c r="HC201" s="144"/>
      <c r="HD201" s="144"/>
      <c r="HE201" s="144"/>
      <c r="HF201" s="144"/>
      <c r="HG201" s="144">
        <f>HH201</f>
        <v>0</v>
      </c>
      <c r="HH201" s="144">
        <f>HP201-GV201</f>
        <v>0</v>
      </c>
      <c r="HI201" s="144"/>
      <c r="HJ201" s="144"/>
      <c r="HK201" s="144">
        <f>HL201</f>
        <v>0</v>
      </c>
      <c r="HL201" s="144">
        <f>IF201-GZ201</f>
        <v>0</v>
      </c>
      <c r="HM201" s="144"/>
      <c r="HN201" s="144"/>
      <c r="HO201" s="144">
        <f>HP201</f>
        <v>0</v>
      </c>
      <c r="HP201" s="144">
        <v>0</v>
      </c>
      <c r="HQ201" s="144"/>
      <c r="HR201" s="144"/>
      <c r="HS201" s="144">
        <f>HT201</f>
        <v>0</v>
      </c>
      <c r="HT201" s="144">
        <v>0</v>
      </c>
      <c r="HU201" s="144"/>
      <c r="HV201" s="144"/>
      <c r="HW201" s="144">
        <f>HX201</f>
        <v>0</v>
      </c>
      <c r="HX201" s="144">
        <f>IR201-HL201</f>
        <v>0</v>
      </c>
      <c r="HY201" s="144"/>
      <c r="HZ201" s="144"/>
      <c r="IA201" s="144">
        <f>IB201</f>
        <v>0</v>
      </c>
      <c r="IB201" s="144">
        <v>0</v>
      </c>
      <c r="IC201" s="144"/>
      <c r="ID201" s="144"/>
      <c r="IE201" s="216"/>
      <c r="IF201" s="141"/>
      <c r="IG201" s="141"/>
      <c r="IH201" s="141"/>
      <c r="II201" s="202"/>
      <c r="IJ201" s="202"/>
      <c r="IK201" s="202"/>
      <c r="IL201" s="202"/>
      <c r="IM201" s="202"/>
      <c r="IN201" s="202"/>
      <c r="IO201" s="202"/>
    </row>
    <row r="202" spans="2:249" s="127" customFormat="1" ht="46.5" hidden="1" customHeight="1" x14ac:dyDescent="0.25">
      <c r="B202" s="115"/>
      <c r="C202" s="116"/>
      <c r="D202" s="117"/>
      <c r="E202" s="118"/>
      <c r="F202" s="118"/>
      <c r="G202" s="118"/>
      <c r="H202" s="118"/>
      <c r="I202" s="118"/>
      <c r="J202" s="118"/>
      <c r="K202" s="118"/>
      <c r="L202" s="118"/>
      <c r="M202" s="118"/>
      <c r="N202" s="118"/>
      <c r="O202" s="118"/>
      <c r="P202" s="118"/>
      <c r="Q202" s="119"/>
      <c r="R202" s="119"/>
      <c r="S202" s="119"/>
      <c r="T202" s="119"/>
      <c r="U202" s="119"/>
      <c r="V202" s="119"/>
      <c r="W202" s="119"/>
      <c r="X202" s="119"/>
      <c r="Y202" s="119"/>
      <c r="Z202" s="119"/>
      <c r="AA202" s="119"/>
      <c r="AB202" s="119"/>
      <c r="AC202" s="119"/>
      <c r="AD202" s="119"/>
      <c r="AE202" s="119"/>
      <c r="AF202" s="119"/>
      <c r="AG202" s="119"/>
      <c r="AH202" s="119"/>
      <c r="AI202" s="120"/>
      <c r="AJ202" s="119"/>
      <c r="AK202" s="119"/>
      <c r="AL202" s="119"/>
      <c r="AM202" s="121"/>
      <c r="AN202" s="119"/>
      <c r="AO202" s="122"/>
      <c r="AP202" s="119"/>
      <c r="AQ202" s="119"/>
      <c r="AR202" s="119"/>
      <c r="AS202" s="119"/>
      <c r="AT202" s="119"/>
      <c r="AU202" s="119"/>
      <c r="AV202" s="119"/>
      <c r="AW202" s="119"/>
      <c r="AX202" s="119"/>
      <c r="AY202" s="119"/>
      <c r="AZ202" s="119"/>
      <c r="BA202" s="119"/>
      <c r="BB202" s="119"/>
      <c r="BC202" s="119"/>
      <c r="BD202" s="119"/>
      <c r="BE202" s="119"/>
      <c r="BF202" s="119"/>
      <c r="BG202" s="119"/>
      <c r="BH202" s="119"/>
      <c r="BI202" s="119"/>
      <c r="BJ202" s="119"/>
      <c r="BK202" s="123"/>
      <c r="BL202" s="124"/>
      <c r="BM202" s="124"/>
      <c r="BN202" s="124"/>
      <c r="BO202" s="124"/>
      <c r="BP202" s="124"/>
      <c r="BQ202" s="124"/>
      <c r="BR202" s="124"/>
      <c r="BS202" s="124"/>
      <c r="BT202" s="124"/>
      <c r="BU202" s="124"/>
      <c r="BV202" s="119"/>
      <c r="BW202" s="119"/>
      <c r="BX202" s="119"/>
      <c r="BY202" s="119"/>
      <c r="BZ202" s="119"/>
      <c r="CA202" s="119"/>
      <c r="CB202" s="119"/>
      <c r="CC202" s="119"/>
      <c r="CD202" s="119"/>
      <c r="CE202" s="124"/>
      <c r="CF202" s="124"/>
      <c r="CG202" s="119"/>
      <c r="CH202" s="119"/>
      <c r="CI202" s="119"/>
      <c r="CJ202" s="119"/>
      <c r="CK202" s="119"/>
      <c r="CL202" s="119"/>
      <c r="CM202" s="119"/>
      <c r="CN202" s="119"/>
      <c r="CO202" s="119"/>
      <c r="CP202" s="119"/>
      <c r="CQ202" s="119"/>
      <c r="CR202" s="119"/>
      <c r="CS202" s="119"/>
      <c r="CT202" s="119"/>
      <c r="CU202" s="119"/>
      <c r="CV202" s="119"/>
      <c r="CW202" s="119"/>
      <c r="CX202" s="119"/>
      <c r="CY202" s="119"/>
      <c r="CZ202" s="119"/>
      <c r="DA202" s="119"/>
      <c r="DB202" s="119"/>
      <c r="DC202" s="119"/>
      <c r="DD202" s="119"/>
      <c r="DE202" s="119"/>
      <c r="DF202" s="119"/>
      <c r="DG202" s="119"/>
      <c r="DH202" s="119"/>
      <c r="DI202" s="119"/>
      <c r="DJ202" s="119"/>
      <c r="DK202" s="119"/>
      <c r="DL202" s="119"/>
      <c r="DM202" s="119"/>
      <c r="DN202" s="119"/>
      <c r="DO202" s="119"/>
      <c r="DP202" s="119"/>
      <c r="DQ202" s="119"/>
      <c r="DR202" s="119"/>
      <c r="DS202" s="119"/>
      <c r="DT202" s="119"/>
      <c r="DU202" s="119"/>
      <c r="DV202" s="119"/>
      <c r="DW202" s="119"/>
      <c r="DX202" s="119"/>
      <c r="DY202" s="119"/>
      <c r="DZ202" s="119"/>
      <c r="EA202" s="119"/>
      <c r="EB202" s="119"/>
      <c r="EC202" s="119"/>
      <c r="ED202" s="119"/>
      <c r="EE202" s="119"/>
      <c r="EF202" s="119"/>
      <c r="EG202" s="119"/>
      <c r="EH202" s="144">
        <v>0</v>
      </c>
      <c r="EI202" s="119"/>
      <c r="EJ202" s="119"/>
      <c r="EK202" s="119"/>
      <c r="EL202" s="119"/>
      <c r="EM202" s="119"/>
      <c r="EN202" s="119"/>
      <c r="EO202" s="119"/>
      <c r="EP202" s="119"/>
      <c r="EQ202" s="119"/>
      <c r="ER202" s="119"/>
      <c r="ES202" s="119"/>
      <c r="ET202" s="119"/>
      <c r="EU202" s="119"/>
      <c r="EV202" s="119"/>
      <c r="EW202" s="119"/>
      <c r="EX202" s="119"/>
      <c r="EY202" s="119"/>
      <c r="EZ202" s="119"/>
      <c r="FA202" s="119"/>
      <c r="FB202" s="119"/>
      <c r="FC202" s="118"/>
      <c r="FD202" s="118"/>
      <c r="FE202" s="118"/>
      <c r="FF202" s="118"/>
      <c r="FG202" s="118"/>
      <c r="FH202" s="118"/>
      <c r="FI202" s="118"/>
      <c r="FJ202" s="118"/>
      <c r="FK202" s="118"/>
      <c r="FL202" s="118"/>
      <c r="FM202" s="118"/>
      <c r="FN202" s="118"/>
      <c r="FO202" s="118"/>
      <c r="FP202" s="143">
        <v>0</v>
      </c>
      <c r="FQ202" s="118"/>
      <c r="FR202" s="118"/>
      <c r="FS202" s="39">
        <f t="shared" si="338"/>
        <v>0</v>
      </c>
      <c r="FT202" s="485" t="e">
        <f t="shared" si="355"/>
        <v>#DIV/0!</v>
      </c>
      <c r="FU202" s="39">
        <v>0</v>
      </c>
      <c r="FV202" s="485" t="e">
        <f t="shared" si="356"/>
        <v>#DIV/0!</v>
      </c>
      <c r="FW202" s="38">
        <f t="shared" si="436"/>
        <v>0</v>
      </c>
      <c r="FX202" s="660" t="e">
        <f t="shared" si="358"/>
        <v>#DIV/0!</v>
      </c>
      <c r="FY202" s="39">
        <f t="shared" si="437"/>
        <v>0</v>
      </c>
      <c r="FZ202" s="660" t="e">
        <f t="shared" si="360"/>
        <v>#DIV/0!</v>
      </c>
      <c r="GA202" s="39">
        <f t="shared" si="361"/>
        <v>0</v>
      </c>
      <c r="GB202" s="485" t="e">
        <f t="shared" si="362"/>
        <v>#DIV/0!</v>
      </c>
      <c r="GC202" s="39">
        <v>0</v>
      </c>
      <c r="GD202" s="485" t="e">
        <f t="shared" si="376"/>
        <v>#DIV/0!</v>
      </c>
      <c r="GE202" s="82"/>
      <c r="GF202" s="498"/>
      <c r="GG202" s="82">
        <f t="shared" si="438"/>
        <v>0</v>
      </c>
      <c r="GH202" s="498" t="e">
        <f t="shared" si="364"/>
        <v>#DIV/0!</v>
      </c>
      <c r="GI202" s="90">
        <f t="shared" si="365"/>
        <v>0</v>
      </c>
      <c r="GJ202" s="485" t="e">
        <f t="shared" si="366"/>
        <v>#DIV/0!</v>
      </c>
      <c r="GK202" s="90">
        <f t="shared" si="439"/>
        <v>0</v>
      </c>
      <c r="GL202" s="485" t="e">
        <f t="shared" si="368"/>
        <v>#DIV/0!</v>
      </c>
      <c r="GM202" s="90">
        <f t="shared" si="434"/>
        <v>0</v>
      </c>
      <c r="GN202" s="485" t="e">
        <f t="shared" si="370"/>
        <v>#DIV/0!</v>
      </c>
      <c r="GO202" s="90">
        <f t="shared" si="435"/>
        <v>0</v>
      </c>
      <c r="GP202" s="485" t="e">
        <f t="shared" si="372"/>
        <v>#DIV/0!</v>
      </c>
      <c r="GQ202" s="119"/>
      <c r="GR202" s="119"/>
      <c r="GS202" s="119"/>
      <c r="GT202" s="119"/>
      <c r="GU202" s="119"/>
      <c r="GV202" s="119"/>
      <c r="GW202" s="119"/>
      <c r="GX202" s="119"/>
      <c r="GY202" s="119"/>
      <c r="GZ202" s="119"/>
      <c r="HA202" s="119"/>
      <c r="HB202" s="119"/>
      <c r="HC202" s="119"/>
      <c r="HD202" s="119"/>
      <c r="HE202" s="119"/>
      <c r="HF202" s="119"/>
      <c r="HG202" s="119"/>
      <c r="HH202" s="119"/>
      <c r="HI202" s="119"/>
      <c r="HJ202" s="119"/>
      <c r="HK202" s="119"/>
      <c r="HL202" s="119"/>
      <c r="HM202" s="119"/>
      <c r="HN202" s="119"/>
      <c r="HO202" s="119"/>
      <c r="HP202" s="119"/>
      <c r="HQ202" s="119"/>
      <c r="HR202" s="119"/>
      <c r="HS202" s="119"/>
      <c r="HT202" s="119"/>
      <c r="HU202" s="119"/>
      <c r="HV202" s="119"/>
      <c r="HW202" s="119"/>
      <c r="HX202" s="119"/>
      <c r="HY202" s="119"/>
      <c r="HZ202" s="119"/>
      <c r="IA202" s="119"/>
      <c r="IB202" s="119"/>
      <c r="IC202" s="119"/>
      <c r="ID202" s="119"/>
      <c r="IE202" s="125"/>
      <c r="IF202" s="126"/>
      <c r="IG202" s="126"/>
      <c r="IH202" s="126"/>
    </row>
    <row r="203" spans="2:249" s="214" customFormat="1" ht="162.75" hidden="1" customHeight="1" x14ac:dyDescent="0.25">
      <c r="B203" s="100" t="s">
        <v>301</v>
      </c>
      <c r="C203" s="176" t="s">
        <v>302</v>
      </c>
      <c r="D203" s="102"/>
      <c r="E203" s="103"/>
      <c r="F203" s="103"/>
      <c r="G203" s="103"/>
      <c r="H203" s="143"/>
      <c r="I203" s="103"/>
      <c r="J203" s="103"/>
      <c r="K203" s="103"/>
      <c r="L203" s="103"/>
      <c r="M203" s="103"/>
      <c r="N203" s="143"/>
      <c r="O203" s="103"/>
      <c r="P203" s="103"/>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9"/>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10"/>
      <c r="BL203" s="106"/>
      <c r="BM203" s="105"/>
      <c r="BN203" s="105"/>
      <c r="BO203" s="105"/>
      <c r="BP203" s="105"/>
      <c r="BQ203" s="105"/>
      <c r="BR203" s="105"/>
      <c r="BS203" s="105"/>
      <c r="BT203" s="105"/>
      <c r="BU203" s="105"/>
      <c r="BV203" s="105"/>
      <c r="BW203" s="105"/>
      <c r="BX203" s="105"/>
      <c r="BY203" s="105"/>
      <c r="BZ203" s="105"/>
      <c r="CA203" s="105"/>
      <c r="CB203" s="105"/>
      <c r="CC203" s="105"/>
      <c r="CD203" s="105"/>
      <c r="CE203" s="106"/>
      <c r="CF203" s="106"/>
      <c r="CG203" s="105"/>
      <c r="CH203" s="105"/>
      <c r="CI203" s="105"/>
      <c r="CJ203" s="105"/>
      <c r="CK203" s="105"/>
      <c r="CL203" s="105"/>
      <c r="CM203" s="105"/>
      <c r="CN203" s="105"/>
      <c r="CO203" s="105"/>
      <c r="CP203" s="105"/>
      <c r="CQ203" s="105"/>
      <c r="CR203" s="105"/>
      <c r="CS203" s="105"/>
      <c r="CT203" s="105"/>
      <c r="CU203" s="105"/>
      <c r="CV203" s="105"/>
      <c r="CW203" s="105">
        <f>CX203</f>
        <v>0</v>
      </c>
      <c r="CX203" s="105">
        <f>CX204</f>
        <v>0</v>
      </c>
      <c r="CY203" s="105">
        <f t="shared" ref="CY203:DE203" si="443">CY180</f>
        <v>0</v>
      </c>
      <c r="CZ203" s="105">
        <f t="shared" si="443"/>
        <v>248461.3</v>
      </c>
      <c r="DA203" s="105">
        <f t="shared" si="443"/>
        <v>248461.3</v>
      </c>
      <c r="DB203" s="105">
        <f t="shared" si="443"/>
        <v>0</v>
      </c>
      <c r="DC203" s="105">
        <f t="shared" si="443"/>
        <v>0</v>
      </c>
      <c r="DD203" s="105">
        <f t="shared" si="443"/>
        <v>0</v>
      </c>
      <c r="DE203" s="105">
        <f t="shared" si="443"/>
        <v>0</v>
      </c>
      <c r="DF203" s="105">
        <f>DG203</f>
        <v>451256.98043</v>
      </c>
      <c r="DG203" s="105">
        <f>DG204+DG206</f>
        <v>451256.98043</v>
      </c>
      <c r="DH203" s="105">
        <f>DH180</f>
        <v>0</v>
      </c>
      <c r="DI203" s="105">
        <f>DJ203</f>
        <v>451256.98043</v>
      </c>
      <c r="DJ203" s="105">
        <f>DJ204+DJ206</f>
        <v>451256.98043</v>
      </c>
      <c r="DK203" s="105">
        <f t="shared" ref="DK203:DT203" si="444">DK180</f>
        <v>0</v>
      </c>
      <c r="DL203" s="105">
        <f t="shared" si="444"/>
        <v>440719.06090000004</v>
      </c>
      <c r="DM203" s="105">
        <f t="shared" si="444"/>
        <v>440719.06090000004</v>
      </c>
      <c r="DN203" s="105">
        <f t="shared" si="444"/>
        <v>0</v>
      </c>
      <c r="DO203" s="105">
        <f t="shared" si="444"/>
        <v>0</v>
      </c>
      <c r="DP203" s="105">
        <f t="shared" si="444"/>
        <v>0</v>
      </c>
      <c r="DQ203" s="105">
        <f t="shared" si="444"/>
        <v>0</v>
      </c>
      <c r="DR203" s="105">
        <f t="shared" si="444"/>
        <v>-440719.06090000004</v>
      </c>
      <c r="DS203" s="105">
        <f t="shared" si="444"/>
        <v>-440719.06090000004</v>
      </c>
      <c r="DT203" s="105">
        <f t="shared" si="444"/>
        <v>0</v>
      </c>
      <c r="DU203" s="105">
        <f>DV203</f>
        <v>0</v>
      </c>
      <c r="DV203" s="105">
        <f>DV204</f>
        <v>0</v>
      </c>
      <c r="DW203" s="105">
        <f t="shared" ref="DW203:EC203" si="445">DW180</f>
        <v>0</v>
      </c>
      <c r="DX203" s="105">
        <f t="shared" si="445"/>
        <v>0</v>
      </c>
      <c r="DY203" s="105">
        <f t="shared" si="445"/>
        <v>0</v>
      </c>
      <c r="DZ203" s="105">
        <f t="shared" si="445"/>
        <v>0</v>
      </c>
      <c r="EA203" s="105">
        <f t="shared" si="445"/>
        <v>0</v>
      </c>
      <c r="EB203" s="105">
        <f t="shared" si="445"/>
        <v>0</v>
      </c>
      <c r="EC203" s="105">
        <f t="shared" si="445"/>
        <v>0</v>
      </c>
      <c r="ED203" s="105">
        <f>EE203</f>
        <v>0</v>
      </c>
      <c r="EE203" s="105">
        <f>EE204+EE206</f>
        <v>0</v>
      </c>
      <c r="EF203" s="105">
        <f>EF180</f>
        <v>0</v>
      </c>
      <c r="EG203" s="105">
        <f>EH203</f>
        <v>0</v>
      </c>
      <c r="EH203" s="144">
        <f>EH204+EH206</f>
        <v>0</v>
      </c>
      <c r="EI203" s="144"/>
      <c r="EJ203" s="144"/>
      <c r="EK203" s="105">
        <f>EL203</f>
        <v>0</v>
      </c>
      <c r="EL203" s="105">
        <f>SUM(EL204:EL206)</f>
        <v>0</v>
      </c>
      <c r="EM203" s="105"/>
      <c r="EN203" s="105">
        <f>EN180</f>
        <v>0</v>
      </c>
      <c r="EO203" s="105">
        <f>EO180</f>
        <v>0</v>
      </c>
      <c r="EP203" s="105">
        <f>EP180</f>
        <v>0</v>
      </c>
      <c r="EQ203" s="105"/>
      <c r="ER203" s="105">
        <f>ER180</f>
        <v>0</v>
      </c>
      <c r="ES203" s="105">
        <f>ET203</f>
        <v>0</v>
      </c>
      <c r="ET203" s="105"/>
      <c r="EU203" s="105"/>
      <c r="EV203" s="105">
        <f>EV180</f>
        <v>0</v>
      </c>
      <c r="EW203" s="105">
        <f>EX203</f>
        <v>0</v>
      </c>
      <c r="EX203" s="105">
        <f>EX204</f>
        <v>0</v>
      </c>
      <c r="EY203" s="105">
        <f>EY180</f>
        <v>0</v>
      </c>
      <c r="EZ203" s="105" t="e">
        <f>FA203</f>
        <v>#REF!</v>
      </c>
      <c r="FA203" s="105" t="e">
        <f>FA204+FA206</f>
        <v>#REF!</v>
      </c>
      <c r="FB203" s="105">
        <f>FB180</f>
        <v>0</v>
      </c>
      <c r="FC203" s="103">
        <f>FD203</f>
        <v>0</v>
      </c>
      <c r="FD203" s="143">
        <f>FD204+FD206</f>
        <v>0</v>
      </c>
      <c r="FE203" s="143"/>
      <c r="FF203" s="143"/>
      <c r="FG203" s="103">
        <f>FG180</f>
        <v>0</v>
      </c>
      <c r="FH203" s="103">
        <f>FH180</f>
        <v>0</v>
      </c>
      <c r="FI203" s="103"/>
      <c r="FJ203" s="103">
        <f>FJ180</f>
        <v>0</v>
      </c>
      <c r="FK203" s="103">
        <f>FK180</f>
        <v>0</v>
      </c>
      <c r="FL203" s="103">
        <f>FL180</f>
        <v>0</v>
      </c>
      <c r="FM203" s="103"/>
      <c r="FN203" s="103">
        <f>FN180</f>
        <v>0</v>
      </c>
      <c r="FO203" s="103">
        <f>FP203</f>
        <v>0</v>
      </c>
      <c r="FP203" s="143">
        <f>FP204+FP206</f>
        <v>0</v>
      </c>
      <c r="FQ203" s="143"/>
      <c r="FR203" s="143"/>
      <c r="FS203" s="39">
        <f t="shared" si="338"/>
        <v>0</v>
      </c>
      <c r="FT203" s="485" t="e">
        <f t="shared" si="355"/>
        <v>#DIV/0!</v>
      </c>
      <c r="FU203" s="39">
        <v>0</v>
      </c>
      <c r="FV203" s="485" t="e">
        <f t="shared" si="356"/>
        <v>#DIV/0!</v>
      </c>
      <c r="FW203" s="38">
        <f t="shared" si="436"/>
        <v>0</v>
      </c>
      <c r="FX203" s="660" t="e">
        <f t="shared" si="358"/>
        <v>#DIV/0!</v>
      </c>
      <c r="FY203" s="39">
        <f t="shared" si="437"/>
        <v>0</v>
      </c>
      <c r="FZ203" s="660" t="e">
        <f t="shared" si="360"/>
        <v>#DIV/0!</v>
      </c>
      <c r="GA203" s="39">
        <f t="shared" si="361"/>
        <v>0</v>
      </c>
      <c r="GB203" s="485" t="e">
        <f t="shared" si="362"/>
        <v>#DIV/0!</v>
      </c>
      <c r="GC203" s="39">
        <v>0</v>
      </c>
      <c r="GD203" s="485" t="e">
        <f t="shared" si="376"/>
        <v>#DIV/0!</v>
      </c>
      <c r="GE203" s="82"/>
      <c r="GF203" s="498"/>
      <c r="GG203" s="82">
        <f t="shared" si="438"/>
        <v>0</v>
      </c>
      <c r="GH203" s="498" t="e">
        <f t="shared" si="364"/>
        <v>#DIV/0!</v>
      </c>
      <c r="GI203" s="90">
        <f t="shared" si="365"/>
        <v>0</v>
      </c>
      <c r="GJ203" s="485" t="e">
        <f t="shared" si="366"/>
        <v>#DIV/0!</v>
      </c>
      <c r="GK203" s="90">
        <f t="shared" si="439"/>
        <v>0</v>
      </c>
      <c r="GL203" s="485" t="e">
        <f t="shared" si="368"/>
        <v>#DIV/0!</v>
      </c>
      <c r="GM203" s="90">
        <f t="shared" si="434"/>
        <v>0</v>
      </c>
      <c r="GN203" s="485" t="e">
        <f t="shared" si="370"/>
        <v>#DIV/0!</v>
      </c>
      <c r="GO203" s="90">
        <f t="shared" si="435"/>
        <v>0</v>
      </c>
      <c r="GP203" s="485" t="e">
        <f t="shared" si="372"/>
        <v>#DIV/0!</v>
      </c>
      <c r="GQ203" s="144"/>
      <c r="GR203" s="144"/>
      <c r="GS203" s="144"/>
      <c r="GT203" s="144"/>
      <c r="GU203" s="105">
        <f>GV203</f>
        <v>0</v>
      </c>
      <c r="GV203" s="105">
        <f>GV204+GV206</f>
        <v>0</v>
      </c>
      <c r="GW203" s="144"/>
      <c r="GX203" s="144"/>
      <c r="GY203" s="144"/>
      <c r="GZ203" s="144"/>
      <c r="HA203" s="144"/>
      <c r="HB203" s="144"/>
      <c r="HC203" s="144"/>
      <c r="HD203" s="144"/>
      <c r="HE203" s="144"/>
      <c r="HF203" s="144"/>
      <c r="HG203" s="105">
        <f>HH203</f>
        <v>0</v>
      </c>
      <c r="HH203" s="105">
        <f>HH204+HH206</f>
        <v>0</v>
      </c>
      <c r="HI203" s="144"/>
      <c r="HJ203" s="144"/>
      <c r="HK203" s="105">
        <f>HL203</f>
        <v>0</v>
      </c>
      <c r="HL203" s="105">
        <f>HL204+HL206</f>
        <v>0</v>
      </c>
      <c r="HM203" s="144"/>
      <c r="HN203" s="144"/>
      <c r="HO203" s="105">
        <f>HP203</f>
        <v>0</v>
      </c>
      <c r="HP203" s="105">
        <f>HP204+HP206</f>
        <v>0</v>
      </c>
      <c r="HQ203" s="144"/>
      <c r="HR203" s="144"/>
      <c r="HS203" s="105">
        <f>HT203</f>
        <v>0</v>
      </c>
      <c r="HT203" s="105">
        <f>HT204+HT206</f>
        <v>0</v>
      </c>
      <c r="HU203" s="144"/>
      <c r="HV203" s="144"/>
      <c r="HW203" s="105">
        <f>HX203</f>
        <v>0</v>
      </c>
      <c r="HX203" s="105">
        <f>HX204+HX206</f>
        <v>0</v>
      </c>
      <c r="HY203" s="144"/>
      <c r="HZ203" s="144"/>
      <c r="IA203" s="105">
        <f>IB203</f>
        <v>0</v>
      </c>
      <c r="IB203" s="105">
        <f>IB204+IB206</f>
        <v>0</v>
      </c>
      <c r="IC203" s="144"/>
      <c r="ID203" s="144"/>
      <c r="IE203" s="229" t="s">
        <v>303</v>
      </c>
      <c r="IF203" s="141"/>
      <c r="IG203" s="141"/>
      <c r="IH203" s="141"/>
      <c r="II203" s="202"/>
      <c r="IJ203" s="202"/>
      <c r="IK203" s="202"/>
      <c r="IL203" s="202"/>
      <c r="IM203" s="202"/>
      <c r="IN203" s="202"/>
      <c r="IO203" s="202"/>
    </row>
    <row r="204" spans="2:249" s="214" customFormat="1" ht="48" hidden="1" customHeight="1" x14ac:dyDescent="0.25">
      <c r="B204" s="100"/>
      <c r="C204" s="161" t="s">
        <v>146</v>
      </c>
      <c r="D204" s="102"/>
      <c r="E204" s="103"/>
      <c r="F204" s="103"/>
      <c r="G204" s="103"/>
      <c r="H204" s="143"/>
      <c r="I204" s="103"/>
      <c r="J204" s="103"/>
      <c r="K204" s="103"/>
      <c r="L204" s="103"/>
      <c r="M204" s="103"/>
      <c r="N204" s="143"/>
      <c r="O204" s="103"/>
      <c r="P204" s="103"/>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9"/>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10"/>
      <c r="BL204" s="106"/>
      <c r="BM204" s="105"/>
      <c r="BN204" s="105"/>
      <c r="BO204" s="105"/>
      <c r="BP204" s="105"/>
      <c r="BQ204" s="105"/>
      <c r="BR204" s="105"/>
      <c r="BS204" s="105"/>
      <c r="BT204" s="105"/>
      <c r="BU204" s="105"/>
      <c r="BV204" s="105"/>
      <c r="BW204" s="105"/>
      <c r="BX204" s="105"/>
      <c r="BY204" s="105"/>
      <c r="BZ204" s="105"/>
      <c r="CA204" s="105"/>
      <c r="CB204" s="105"/>
      <c r="CC204" s="105"/>
      <c r="CD204" s="105"/>
      <c r="CE204" s="106"/>
      <c r="CF204" s="106"/>
      <c r="CG204" s="105"/>
      <c r="CH204" s="105"/>
      <c r="CI204" s="105"/>
      <c r="CJ204" s="105"/>
      <c r="CK204" s="105"/>
      <c r="CL204" s="105"/>
      <c r="CM204" s="105"/>
      <c r="CN204" s="105"/>
      <c r="CO204" s="105"/>
      <c r="CP204" s="105"/>
      <c r="CQ204" s="105"/>
      <c r="CR204" s="105"/>
      <c r="CS204" s="105"/>
      <c r="CT204" s="105"/>
      <c r="CU204" s="105"/>
      <c r="CV204" s="105"/>
      <c r="CW204" s="144">
        <f>CX204</f>
        <v>0</v>
      </c>
      <c r="CX204" s="144">
        <v>0</v>
      </c>
      <c r="CY204" s="105"/>
      <c r="CZ204" s="105"/>
      <c r="DA204" s="105"/>
      <c r="DB204" s="105"/>
      <c r="DC204" s="105"/>
      <c r="DD204" s="105"/>
      <c r="DE204" s="105"/>
      <c r="DF204" s="144">
        <f>DG204</f>
        <v>436885.24421999999</v>
      </c>
      <c r="DG204" s="144">
        <f>DJ204-CX204</f>
        <v>436885.24421999999</v>
      </c>
      <c r="DH204" s="105"/>
      <c r="DI204" s="144">
        <f>DJ204</f>
        <v>436885.24421999999</v>
      </c>
      <c r="DJ204" s="144">
        <f>CX181</f>
        <v>436885.24421999999</v>
      </c>
      <c r="DK204" s="105"/>
      <c r="DL204" s="105"/>
      <c r="DM204" s="105"/>
      <c r="DN204" s="105"/>
      <c r="DO204" s="105"/>
      <c r="DP204" s="105"/>
      <c r="DQ204" s="105"/>
      <c r="DR204" s="105"/>
      <c r="DS204" s="105"/>
      <c r="DT204" s="105"/>
      <c r="DU204" s="144">
        <f>DV204</f>
        <v>0</v>
      </c>
      <c r="DV204" s="144">
        <v>0</v>
      </c>
      <c r="DW204" s="105"/>
      <c r="DX204" s="105"/>
      <c r="DY204" s="105"/>
      <c r="DZ204" s="105"/>
      <c r="EA204" s="105"/>
      <c r="EB204" s="105"/>
      <c r="EC204" s="105"/>
      <c r="ED204" s="144">
        <f>EE204+EF204</f>
        <v>0</v>
      </c>
      <c r="EE204" s="144">
        <f>EH204-DV204</f>
        <v>0</v>
      </c>
      <c r="EF204" s="105"/>
      <c r="EG204" s="144">
        <f>EH204</f>
        <v>0</v>
      </c>
      <c r="EH204" s="144">
        <f>DX181</f>
        <v>0</v>
      </c>
      <c r="EI204" s="144"/>
      <c r="EJ204" s="144"/>
      <c r="EK204" s="144">
        <f>EL204</f>
        <v>0</v>
      </c>
      <c r="EL204" s="144"/>
      <c r="EM204" s="105"/>
      <c r="EN204" s="105"/>
      <c r="EO204" s="105"/>
      <c r="EP204" s="105"/>
      <c r="EQ204" s="105"/>
      <c r="ER204" s="105"/>
      <c r="ES204" s="143">
        <f>ET204</f>
        <v>0</v>
      </c>
      <c r="ET204" s="144"/>
      <c r="EU204" s="144"/>
      <c r="EV204" s="105"/>
      <c r="EW204" s="144">
        <f>EX204</f>
        <v>0</v>
      </c>
      <c r="EX204" s="144">
        <v>0</v>
      </c>
      <c r="EY204" s="105"/>
      <c r="EZ204" s="144" t="e">
        <f>FA204+FB204</f>
        <v>#REF!</v>
      </c>
      <c r="FA204" s="144" t="e">
        <f>FD204-#REF!</f>
        <v>#REF!</v>
      </c>
      <c r="FB204" s="105"/>
      <c r="FC204" s="143">
        <f>FD204</f>
        <v>0</v>
      </c>
      <c r="FD204" s="143">
        <f>EX181</f>
        <v>0</v>
      </c>
      <c r="FE204" s="143"/>
      <c r="FF204" s="143"/>
      <c r="FG204" s="103"/>
      <c r="FH204" s="103"/>
      <c r="FI204" s="103"/>
      <c r="FJ204" s="103"/>
      <c r="FK204" s="103"/>
      <c r="FL204" s="103"/>
      <c r="FM204" s="103"/>
      <c r="FN204" s="103"/>
      <c r="FO204" s="143">
        <f>FP204</f>
        <v>0</v>
      </c>
      <c r="FP204" s="143">
        <f>FF181</f>
        <v>0</v>
      </c>
      <c r="FQ204" s="143"/>
      <c r="FR204" s="143"/>
      <c r="FS204" s="39">
        <f t="shared" si="338"/>
        <v>0</v>
      </c>
      <c r="FT204" s="485" t="e">
        <f t="shared" si="355"/>
        <v>#DIV/0!</v>
      </c>
      <c r="FU204" s="39">
        <v>0</v>
      </c>
      <c r="FV204" s="485" t="e">
        <f t="shared" si="356"/>
        <v>#DIV/0!</v>
      </c>
      <c r="FW204" s="38">
        <f t="shared" si="436"/>
        <v>0</v>
      </c>
      <c r="FX204" s="660" t="e">
        <f t="shared" si="358"/>
        <v>#DIV/0!</v>
      </c>
      <c r="FY204" s="39">
        <f t="shared" si="437"/>
        <v>0</v>
      </c>
      <c r="FZ204" s="660" t="e">
        <f t="shared" si="360"/>
        <v>#DIV/0!</v>
      </c>
      <c r="GA204" s="39">
        <f t="shared" si="361"/>
        <v>0</v>
      </c>
      <c r="GB204" s="485" t="e">
        <f t="shared" si="362"/>
        <v>#DIV/0!</v>
      </c>
      <c r="GC204" s="39">
        <v>0</v>
      </c>
      <c r="GD204" s="485" t="e">
        <f t="shared" si="376"/>
        <v>#DIV/0!</v>
      </c>
      <c r="GE204" s="82"/>
      <c r="GF204" s="498"/>
      <c r="GG204" s="82">
        <f t="shared" si="438"/>
        <v>0</v>
      </c>
      <c r="GH204" s="498" t="e">
        <f t="shared" si="364"/>
        <v>#DIV/0!</v>
      </c>
      <c r="GI204" s="90">
        <f t="shared" si="365"/>
        <v>0</v>
      </c>
      <c r="GJ204" s="485" t="e">
        <f t="shared" si="366"/>
        <v>#DIV/0!</v>
      </c>
      <c r="GK204" s="90">
        <f t="shared" si="439"/>
        <v>0</v>
      </c>
      <c r="GL204" s="485" t="e">
        <f t="shared" si="368"/>
        <v>#DIV/0!</v>
      </c>
      <c r="GM204" s="90">
        <f t="shared" si="434"/>
        <v>0</v>
      </c>
      <c r="GN204" s="485" t="e">
        <f t="shared" si="370"/>
        <v>#DIV/0!</v>
      </c>
      <c r="GO204" s="90">
        <f t="shared" si="435"/>
        <v>0</v>
      </c>
      <c r="GP204" s="485" t="e">
        <f t="shared" si="372"/>
        <v>#DIV/0!</v>
      </c>
      <c r="GQ204" s="144"/>
      <c r="GR204" s="144"/>
      <c r="GS204" s="144"/>
      <c r="GT204" s="144"/>
      <c r="GU204" s="144">
        <f>GV204</f>
        <v>0</v>
      </c>
      <c r="GV204" s="144">
        <f>FJ181</f>
        <v>0</v>
      </c>
      <c r="GW204" s="144"/>
      <c r="GX204" s="144"/>
      <c r="GY204" s="144"/>
      <c r="GZ204" s="144"/>
      <c r="HA204" s="144"/>
      <c r="HB204" s="144"/>
      <c r="HC204" s="144"/>
      <c r="HD204" s="144"/>
      <c r="HE204" s="144"/>
      <c r="HF204" s="144"/>
      <c r="HG204" s="144">
        <f>HH204</f>
        <v>0</v>
      </c>
      <c r="HH204" s="144">
        <f>HB181</f>
        <v>0</v>
      </c>
      <c r="HI204" s="144"/>
      <c r="HJ204" s="144"/>
      <c r="HK204" s="144">
        <f>HL204</f>
        <v>0</v>
      </c>
      <c r="HL204" s="144">
        <f>HF181</f>
        <v>0</v>
      </c>
      <c r="HM204" s="144"/>
      <c r="HN204" s="144"/>
      <c r="HO204" s="144">
        <f>HP204</f>
        <v>0</v>
      </c>
      <c r="HP204" s="144">
        <f>HF181</f>
        <v>0</v>
      </c>
      <c r="HQ204" s="144"/>
      <c r="HR204" s="144"/>
      <c r="HS204" s="144">
        <f>HT204</f>
        <v>0</v>
      </c>
      <c r="HT204" s="144">
        <f>HJ181</f>
        <v>0</v>
      </c>
      <c r="HU204" s="144"/>
      <c r="HV204" s="144"/>
      <c r="HW204" s="144">
        <f>HX204</f>
        <v>0</v>
      </c>
      <c r="HX204" s="144">
        <f>HR181</f>
        <v>0</v>
      </c>
      <c r="HY204" s="144"/>
      <c r="HZ204" s="144"/>
      <c r="IA204" s="144">
        <f>IB204</f>
        <v>0</v>
      </c>
      <c r="IB204" s="144">
        <f>HR181</f>
        <v>0</v>
      </c>
      <c r="IC204" s="144"/>
      <c r="ID204" s="144"/>
      <c r="IE204" s="216"/>
      <c r="IF204" s="141"/>
      <c r="IG204" s="141"/>
      <c r="IH204" s="141"/>
      <c r="II204" s="202"/>
      <c r="IJ204" s="202"/>
      <c r="IK204" s="202"/>
      <c r="IL204" s="202"/>
      <c r="IM204" s="202"/>
      <c r="IN204" s="202"/>
      <c r="IO204" s="202"/>
    </row>
    <row r="205" spans="2:249" s="214" customFormat="1" ht="48" hidden="1" customHeight="1" x14ac:dyDescent="0.25">
      <c r="B205" s="100"/>
      <c r="C205" s="161" t="s">
        <v>161</v>
      </c>
      <c r="D205" s="102"/>
      <c r="E205" s="103"/>
      <c r="F205" s="103"/>
      <c r="G205" s="103"/>
      <c r="H205" s="143"/>
      <c r="I205" s="103"/>
      <c r="J205" s="103"/>
      <c r="K205" s="103"/>
      <c r="L205" s="103"/>
      <c r="M205" s="103"/>
      <c r="N205" s="143"/>
      <c r="O205" s="103"/>
      <c r="P205" s="103"/>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9"/>
      <c r="AP205" s="105"/>
      <c r="AQ205" s="105"/>
      <c r="AR205" s="105"/>
      <c r="AS205" s="105"/>
      <c r="AT205" s="105"/>
      <c r="AU205" s="105"/>
      <c r="AV205" s="105"/>
      <c r="AW205" s="105"/>
      <c r="AX205" s="105"/>
      <c r="AY205" s="105"/>
      <c r="AZ205" s="105"/>
      <c r="BA205" s="105"/>
      <c r="BB205" s="105"/>
      <c r="BC205" s="105"/>
      <c r="BD205" s="105"/>
      <c r="BE205" s="105"/>
      <c r="BF205" s="105"/>
      <c r="BG205" s="105"/>
      <c r="BH205" s="105"/>
      <c r="BI205" s="105"/>
      <c r="BJ205" s="105"/>
      <c r="BK205" s="110"/>
      <c r="BL205" s="106"/>
      <c r="BM205" s="105"/>
      <c r="BN205" s="105"/>
      <c r="BO205" s="105"/>
      <c r="BP205" s="105"/>
      <c r="BQ205" s="105"/>
      <c r="BR205" s="105"/>
      <c r="BS205" s="105"/>
      <c r="BT205" s="105"/>
      <c r="BU205" s="105"/>
      <c r="BV205" s="105"/>
      <c r="BW205" s="105"/>
      <c r="BX205" s="105"/>
      <c r="BY205" s="105"/>
      <c r="BZ205" s="105"/>
      <c r="CA205" s="105"/>
      <c r="CB205" s="105"/>
      <c r="CC205" s="105"/>
      <c r="CD205" s="105"/>
      <c r="CE205" s="106"/>
      <c r="CF205" s="106"/>
      <c r="CG205" s="105"/>
      <c r="CH205" s="105"/>
      <c r="CI205" s="105"/>
      <c r="CJ205" s="105"/>
      <c r="CK205" s="105"/>
      <c r="CL205" s="105"/>
      <c r="CM205" s="105"/>
      <c r="CN205" s="105"/>
      <c r="CO205" s="105"/>
      <c r="CP205" s="105"/>
      <c r="CQ205" s="105"/>
      <c r="CR205" s="105"/>
      <c r="CS205" s="105"/>
      <c r="CT205" s="105"/>
      <c r="CU205" s="105"/>
      <c r="CV205" s="105"/>
      <c r="CW205" s="144"/>
      <c r="CX205" s="144"/>
      <c r="CY205" s="105"/>
      <c r="CZ205" s="105"/>
      <c r="DA205" s="105"/>
      <c r="DB205" s="105"/>
      <c r="DC205" s="105"/>
      <c r="DD205" s="105"/>
      <c r="DE205" s="105"/>
      <c r="DF205" s="144"/>
      <c r="DG205" s="144"/>
      <c r="DH205" s="105"/>
      <c r="DI205" s="144"/>
      <c r="DJ205" s="144"/>
      <c r="DK205" s="105"/>
      <c r="DL205" s="105"/>
      <c r="DM205" s="105"/>
      <c r="DN205" s="105"/>
      <c r="DO205" s="105"/>
      <c r="DP205" s="105"/>
      <c r="DQ205" s="105"/>
      <c r="DR205" s="105"/>
      <c r="DS205" s="105"/>
      <c r="DT205" s="105"/>
      <c r="DU205" s="144"/>
      <c r="DV205" s="144"/>
      <c r="DW205" s="105"/>
      <c r="DX205" s="105"/>
      <c r="DY205" s="105"/>
      <c r="DZ205" s="105"/>
      <c r="EA205" s="105"/>
      <c r="EB205" s="105"/>
      <c r="EC205" s="105"/>
      <c r="ED205" s="144"/>
      <c r="EE205" s="144"/>
      <c r="EF205" s="105"/>
      <c r="EG205" s="144"/>
      <c r="EH205" s="144"/>
      <c r="EI205" s="144"/>
      <c r="EJ205" s="144"/>
      <c r="EK205" s="144">
        <f>EL205</f>
        <v>0</v>
      </c>
      <c r="EL205" s="144"/>
      <c r="EM205" s="105"/>
      <c r="EN205" s="105"/>
      <c r="EO205" s="105"/>
      <c r="EP205" s="105"/>
      <c r="EQ205" s="105"/>
      <c r="ER205" s="105"/>
      <c r="ES205" s="143">
        <f>ET205</f>
        <v>0</v>
      </c>
      <c r="ET205" s="144"/>
      <c r="EU205" s="144"/>
      <c r="EV205" s="105"/>
      <c r="EW205" s="144"/>
      <c r="EX205" s="144"/>
      <c r="EY205" s="105"/>
      <c r="EZ205" s="144"/>
      <c r="FA205" s="144"/>
      <c r="FB205" s="105"/>
      <c r="FC205" s="143"/>
      <c r="FD205" s="143"/>
      <c r="FE205" s="143"/>
      <c r="FF205" s="143"/>
      <c r="FG205" s="103"/>
      <c r="FH205" s="103"/>
      <c r="FI205" s="103"/>
      <c r="FJ205" s="103"/>
      <c r="FK205" s="103"/>
      <c r="FL205" s="103"/>
      <c r="FM205" s="103"/>
      <c r="FN205" s="103"/>
      <c r="FO205" s="143"/>
      <c r="FP205" s="143"/>
      <c r="FQ205" s="143"/>
      <c r="FR205" s="143"/>
      <c r="FS205" s="39">
        <f t="shared" si="338"/>
        <v>0</v>
      </c>
      <c r="FT205" s="485" t="e">
        <f t="shared" si="355"/>
        <v>#DIV/0!</v>
      </c>
      <c r="FU205" s="39">
        <v>0</v>
      </c>
      <c r="FV205" s="485" t="e">
        <f t="shared" si="356"/>
        <v>#DIV/0!</v>
      </c>
      <c r="FW205" s="38">
        <f t="shared" si="436"/>
        <v>0</v>
      </c>
      <c r="FX205" s="660" t="e">
        <f t="shared" si="358"/>
        <v>#DIV/0!</v>
      </c>
      <c r="FY205" s="39">
        <f t="shared" si="437"/>
        <v>0</v>
      </c>
      <c r="FZ205" s="660" t="e">
        <f t="shared" si="360"/>
        <v>#DIV/0!</v>
      </c>
      <c r="GA205" s="39">
        <f t="shared" si="361"/>
        <v>0</v>
      </c>
      <c r="GB205" s="485" t="e">
        <f t="shared" si="362"/>
        <v>#DIV/0!</v>
      </c>
      <c r="GC205" s="39">
        <v>0</v>
      </c>
      <c r="GD205" s="485" t="e">
        <f t="shared" si="376"/>
        <v>#DIV/0!</v>
      </c>
      <c r="GE205" s="82"/>
      <c r="GF205" s="498"/>
      <c r="GG205" s="82">
        <f t="shared" si="438"/>
        <v>0</v>
      </c>
      <c r="GH205" s="498" t="e">
        <f t="shared" si="364"/>
        <v>#DIV/0!</v>
      </c>
      <c r="GI205" s="90">
        <f t="shared" si="365"/>
        <v>0</v>
      </c>
      <c r="GJ205" s="485" t="e">
        <f t="shared" si="366"/>
        <v>#DIV/0!</v>
      </c>
      <c r="GK205" s="90">
        <f t="shared" si="439"/>
        <v>0</v>
      </c>
      <c r="GL205" s="485" t="e">
        <f t="shared" si="368"/>
        <v>#DIV/0!</v>
      </c>
      <c r="GM205" s="90">
        <f t="shared" si="434"/>
        <v>0</v>
      </c>
      <c r="GN205" s="485" t="e">
        <f t="shared" si="370"/>
        <v>#DIV/0!</v>
      </c>
      <c r="GO205" s="90">
        <f t="shared" si="435"/>
        <v>0</v>
      </c>
      <c r="GP205" s="485" t="e">
        <f t="shared" si="372"/>
        <v>#DIV/0!</v>
      </c>
      <c r="GQ205" s="144"/>
      <c r="GR205" s="144"/>
      <c r="GS205" s="144"/>
      <c r="GT205" s="144"/>
      <c r="GU205" s="144"/>
      <c r="GV205" s="144"/>
      <c r="GW205" s="144"/>
      <c r="GX205" s="144"/>
      <c r="GY205" s="144"/>
      <c r="GZ205" s="144"/>
      <c r="HA205" s="144"/>
      <c r="HB205" s="144"/>
      <c r="HC205" s="144"/>
      <c r="HD205" s="144"/>
      <c r="HE205" s="144"/>
      <c r="HF205" s="144"/>
      <c r="HG205" s="144"/>
      <c r="HH205" s="144"/>
      <c r="HI205" s="144"/>
      <c r="HJ205" s="144"/>
      <c r="HK205" s="144"/>
      <c r="HL205" s="144"/>
      <c r="HM205" s="144"/>
      <c r="HN205" s="144"/>
      <c r="HO205" s="144"/>
      <c r="HP205" s="144"/>
      <c r="HQ205" s="144"/>
      <c r="HR205" s="144"/>
      <c r="HS205" s="144"/>
      <c r="HT205" s="144"/>
      <c r="HU205" s="144"/>
      <c r="HV205" s="144"/>
      <c r="HW205" s="144"/>
      <c r="HX205" s="144"/>
      <c r="HY205" s="144"/>
      <c r="HZ205" s="144"/>
      <c r="IA205" s="144"/>
      <c r="IB205" s="144"/>
      <c r="IC205" s="144"/>
      <c r="ID205" s="144"/>
      <c r="IE205" s="216"/>
      <c r="IF205" s="141"/>
      <c r="IG205" s="141"/>
      <c r="IH205" s="141"/>
      <c r="II205" s="202"/>
      <c r="IJ205" s="202"/>
      <c r="IK205" s="202"/>
      <c r="IL205" s="202"/>
      <c r="IM205" s="202"/>
      <c r="IN205" s="202"/>
      <c r="IO205" s="202"/>
    </row>
    <row r="206" spans="2:249" s="214" customFormat="1" ht="39.75" hidden="1" customHeight="1" x14ac:dyDescent="0.25">
      <c r="B206" s="100"/>
      <c r="C206" s="161" t="s">
        <v>172</v>
      </c>
      <c r="D206" s="102"/>
      <c r="E206" s="103"/>
      <c r="F206" s="103"/>
      <c r="G206" s="103"/>
      <c r="H206" s="143"/>
      <c r="I206" s="103"/>
      <c r="J206" s="103"/>
      <c r="K206" s="103"/>
      <c r="L206" s="103"/>
      <c r="M206" s="103"/>
      <c r="N206" s="143"/>
      <c r="O206" s="103"/>
      <c r="P206" s="103"/>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9"/>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10"/>
      <c r="BL206" s="106"/>
      <c r="BM206" s="105"/>
      <c r="BN206" s="105"/>
      <c r="BO206" s="105"/>
      <c r="BP206" s="105"/>
      <c r="BQ206" s="105"/>
      <c r="BR206" s="105"/>
      <c r="BS206" s="105"/>
      <c r="BT206" s="105"/>
      <c r="BU206" s="105"/>
      <c r="BV206" s="105"/>
      <c r="BW206" s="105"/>
      <c r="BX206" s="105"/>
      <c r="BY206" s="105"/>
      <c r="BZ206" s="105"/>
      <c r="CA206" s="105"/>
      <c r="CB206" s="105"/>
      <c r="CC206" s="105"/>
      <c r="CD206" s="105"/>
      <c r="CE206" s="106"/>
      <c r="CF206" s="106"/>
      <c r="CG206" s="105"/>
      <c r="CH206" s="105"/>
      <c r="CI206" s="105"/>
      <c r="CJ206" s="105"/>
      <c r="CK206" s="105"/>
      <c r="CL206" s="105"/>
      <c r="CM206" s="105"/>
      <c r="CN206" s="105"/>
      <c r="CO206" s="105"/>
      <c r="CP206" s="105"/>
      <c r="CQ206" s="105"/>
      <c r="CR206" s="105"/>
      <c r="CS206" s="105"/>
      <c r="CT206" s="105"/>
      <c r="CU206" s="105"/>
      <c r="CV206" s="105"/>
      <c r="CW206" s="144">
        <f>CX206</f>
        <v>0</v>
      </c>
      <c r="CX206" s="144">
        <v>0</v>
      </c>
      <c r="CY206" s="105"/>
      <c r="CZ206" s="105"/>
      <c r="DA206" s="105"/>
      <c r="DB206" s="105"/>
      <c r="DC206" s="105"/>
      <c r="DD206" s="105"/>
      <c r="DE206" s="105"/>
      <c r="DF206" s="144">
        <f>DG206</f>
        <v>14371.736209999999</v>
      </c>
      <c r="DG206" s="144">
        <f>DJ206-CX206</f>
        <v>14371.736209999999</v>
      </c>
      <c r="DH206" s="105"/>
      <c r="DI206" s="144">
        <f>DJ206</f>
        <v>14371.736209999999</v>
      </c>
      <c r="DJ206" s="144">
        <f>CX182</f>
        <v>14371.736209999999</v>
      </c>
      <c r="DK206" s="105"/>
      <c r="DL206" s="105"/>
      <c r="DM206" s="105"/>
      <c r="DN206" s="105"/>
      <c r="DO206" s="105"/>
      <c r="DP206" s="105"/>
      <c r="DQ206" s="105"/>
      <c r="DR206" s="105"/>
      <c r="DS206" s="105"/>
      <c r="DT206" s="105"/>
      <c r="DU206" s="144">
        <f>DV206</f>
        <v>0</v>
      </c>
      <c r="DV206" s="144">
        <v>0</v>
      </c>
      <c r="DW206" s="105"/>
      <c r="DX206" s="105"/>
      <c r="DY206" s="105"/>
      <c r="DZ206" s="105"/>
      <c r="EA206" s="105"/>
      <c r="EB206" s="105"/>
      <c r="EC206" s="105"/>
      <c r="ED206" s="144">
        <f>EE206+EF206</f>
        <v>0</v>
      </c>
      <c r="EE206" s="144">
        <f>EH206-DV206</f>
        <v>0</v>
      </c>
      <c r="EF206" s="105"/>
      <c r="EG206" s="144">
        <f>EH206</f>
        <v>0</v>
      </c>
      <c r="EH206" s="144">
        <f>DX182</f>
        <v>0</v>
      </c>
      <c r="EI206" s="144"/>
      <c r="EJ206" s="144"/>
      <c r="EK206" s="144">
        <f>EL206</f>
        <v>0</v>
      </c>
      <c r="EL206" s="144">
        <f>ET206-EH206</f>
        <v>0</v>
      </c>
      <c r="EM206" s="105"/>
      <c r="EN206" s="105"/>
      <c r="EO206" s="105"/>
      <c r="EP206" s="105"/>
      <c r="EQ206" s="105"/>
      <c r="ER206" s="105"/>
      <c r="ES206" s="143">
        <f>ET206</f>
        <v>0</v>
      </c>
      <c r="ET206" s="144"/>
      <c r="EU206" s="144"/>
      <c r="EV206" s="105"/>
      <c r="EW206" s="144">
        <f>EX206</f>
        <v>0</v>
      </c>
      <c r="EX206" s="144">
        <v>0</v>
      </c>
      <c r="EY206" s="105"/>
      <c r="EZ206" s="144" t="e">
        <f>FA206+FB206</f>
        <v>#REF!</v>
      </c>
      <c r="FA206" s="144" t="e">
        <f>FD206-#REF!</f>
        <v>#REF!</v>
      </c>
      <c r="FB206" s="105"/>
      <c r="FC206" s="143">
        <f>FD206</f>
        <v>0</v>
      </c>
      <c r="FD206" s="143">
        <f>EX182</f>
        <v>0</v>
      </c>
      <c r="FE206" s="143"/>
      <c r="FF206" s="143"/>
      <c r="FG206" s="103"/>
      <c r="FH206" s="103"/>
      <c r="FI206" s="103"/>
      <c r="FJ206" s="103"/>
      <c r="FK206" s="103"/>
      <c r="FL206" s="103"/>
      <c r="FM206" s="103"/>
      <c r="FN206" s="103"/>
      <c r="FO206" s="143">
        <f>FP206</f>
        <v>0</v>
      </c>
      <c r="FP206" s="143">
        <f>FF182</f>
        <v>0</v>
      </c>
      <c r="FQ206" s="143"/>
      <c r="FR206" s="143"/>
      <c r="FS206" s="39">
        <f t="shared" si="338"/>
        <v>0</v>
      </c>
      <c r="FT206" s="485" t="e">
        <f t="shared" si="355"/>
        <v>#DIV/0!</v>
      </c>
      <c r="FU206" s="39">
        <v>0</v>
      </c>
      <c r="FV206" s="485" t="e">
        <f t="shared" si="356"/>
        <v>#DIV/0!</v>
      </c>
      <c r="FW206" s="38">
        <f t="shared" si="436"/>
        <v>0</v>
      </c>
      <c r="FX206" s="660" t="e">
        <f t="shared" si="358"/>
        <v>#DIV/0!</v>
      </c>
      <c r="FY206" s="39">
        <f t="shared" si="437"/>
        <v>0</v>
      </c>
      <c r="FZ206" s="660" t="e">
        <f t="shared" si="360"/>
        <v>#DIV/0!</v>
      </c>
      <c r="GA206" s="39">
        <f t="shared" si="361"/>
        <v>0</v>
      </c>
      <c r="GB206" s="485" t="e">
        <f t="shared" si="362"/>
        <v>#DIV/0!</v>
      </c>
      <c r="GC206" s="39">
        <v>0</v>
      </c>
      <c r="GD206" s="485" t="e">
        <f t="shared" si="376"/>
        <v>#DIV/0!</v>
      </c>
      <c r="GE206" s="82"/>
      <c r="GF206" s="498"/>
      <c r="GG206" s="82">
        <f t="shared" si="438"/>
        <v>0</v>
      </c>
      <c r="GH206" s="498" t="e">
        <f t="shared" si="364"/>
        <v>#DIV/0!</v>
      </c>
      <c r="GI206" s="90">
        <f t="shared" si="365"/>
        <v>0</v>
      </c>
      <c r="GJ206" s="485" t="e">
        <f t="shared" si="366"/>
        <v>#DIV/0!</v>
      </c>
      <c r="GK206" s="90">
        <f t="shared" si="439"/>
        <v>0</v>
      </c>
      <c r="GL206" s="485" t="e">
        <f t="shared" si="368"/>
        <v>#DIV/0!</v>
      </c>
      <c r="GM206" s="90">
        <f t="shared" si="434"/>
        <v>0</v>
      </c>
      <c r="GN206" s="485" t="e">
        <f t="shared" si="370"/>
        <v>#DIV/0!</v>
      </c>
      <c r="GO206" s="90">
        <f t="shared" si="435"/>
        <v>0</v>
      </c>
      <c r="GP206" s="485" t="e">
        <f t="shared" si="372"/>
        <v>#DIV/0!</v>
      </c>
      <c r="GQ206" s="144"/>
      <c r="GR206" s="144"/>
      <c r="GS206" s="144"/>
      <c r="GT206" s="144"/>
      <c r="GU206" s="144">
        <f>GV206</f>
        <v>0</v>
      </c>
      <c r="GV206" s="144">
        <f>FJ182</f>
        <v>0</v>
      </c>
      <c r="GW206" s="144"/>
      <c r="GX206" s="144"/>
      <c r="GY206" s="144"/>
      <c r="GZ206" s="144"/>
      <c r="HA206" s="144"/>
      <c r="HB206" s="144"/>
      <c r="HC206" s="144"/>
      <c r="HD206" s="144"/>
      <c r="HE206" s="144"/>
      <c r="HF206" s="144"/>
      <c r="HG206" s="144">
        <f>HH206</f>
        <v>0</v>
      </c>
      <c r="HH206" s="144">
        <f>HB182</f>
        <v>0</v>
      </c>
      <c r="HI206" s="144"/>
      <c r="HJ206" s="144"/>
      <c r="HK206" s="144">
        <f>HL206</f>
        <v>0</v>
      </c>
      <c r="HL206" s="144">
        <f>HF182</f>
        <v>0</v>
      </c>
      <c r="HM206" s="144"/>
      <c r="HN206" s="144"/>
      <c r="HO206" s="144">
        <f>HP206</f>
        <v>0</v>
      </c>
      <c r="HP206" s="144">
        <f>HF182</f>
        <v>0</v>
      </c>
      <c r="HQ206" s="144"/>
      <c r="HR206" s="144"/>
      <c r="HS206" s="144">
        <f>HT206</f>
        <v>0</v>
      </c>
      <c r="HT206" s="144">
        <f>HJ182</f>
        <v>0</v>
      </c>
      <c r="HU206" s="144"/>
      <c r="HV206" s="144"/>
      <c r="HW206" s="144">
        <f>HX206</f>
        <v>0</v>
      </c>
      <c r="HX206" s="144">
        <f>HR182</f>
        <v>0</v>
      </c>
      <c r="HY206" s="144"/>
      <c r="HZ206" s="144"/>
      <c r="IA206" s="144">
        <f>IB206</f>
        <v>0</v>
      </c>
      <c r="IB206" s="144">
        <f>HR182</f>
        <v>0</v>
      </c>
      <c r="IC206" s="144"/>
      <c r="ID206" s="144"/>
      <c r="IE206" s="216"/>
      <c r="IF206" s="141"/>
      <c r="IG206" s="141"/>
      <c r="IH206" s="141"/>
      <c r="II206" s="202"/>
      <c r="IJ206" s="202"/>
      <c r="IK206" s="202"/>
      <c r="IL206" s="202"/>
      <c r="IM206" s="202"/>
      <c r="IN206" s="202"/>
      <c r="IO206" s="202"/>
    </row>
    <row r="207" spans="2:249" s="232" customFormat="1" ht="63.75" customHeight="1" x14ac:dyDescent="0.3">
      <c r="B207" s="753" t="s">
        <v>304</v>
      </c>
      <c r="C207" s="754"/>
      <c r="D207" s="567"/>
      <c r="E207" s="152" t="e">
        <f>E31+E137+#REF!</f>
        <v>#REF!</v>
      </c>
      <c r="F207" s="152" t="e">
        <f>F31+F137+#REF!</f>
        <v>#REF!</v>
      </c>
      <c r="G207" s="152" t="e">
        <f>G31+G137+#REF!</f>
        <v>#REF!</v>
      </c>
      <c r="H207" s="152" t="e">
        <f>H31+H137+#REF!</f>
        <v>#REF!</v>
      </c>
      <c r="I207" s="152" t="e">
        <f>I31+I137+#REF!</f>
        <v>#REF!</v>
      </c>
      <c r="J207" s="152" t="e">
        <f>J31+J137+#REF!</f>
        <v>#REF!</v>
      </c>
      <c r="K207" s="152" t="e">
        <f>K31+K137+#REF!</f>
        <v>#REF!</v>
      </c>
      <c r="L207" s="152" t="e">
        <f>L31+L137+#REF!</f>
        <v>#REF!</v>
      </c>
      <c r="M207" s="152" t="e">
        <f>M31+M137+#REF!</f>
        <v>#REF!</v>
      </c>
      <c r="N207" s="152" t="e">
        <f>N31+N137+#REF!</f>
        <v>#REF!</v>
      </c>
      <c r="O207" s="152" t="e">
        <f>O31+O137+#REF!</f>
        <v>#REF!</v>
      </c>
      <c r="P207" s="152" t="e">
        <f>P31+P137+#REF!</f>
        <v>#REF!</v>
      </c>
      <c r="Q207" s="566" t="e">
        <f>Q31+Q137+#REF!</f>
        <v>#REF!</v>
      </c>
      <c r="R207" s="566" t="e">
        <f>R31+R137+#REF!</f>
        <v>#REF!</v>
      </c>
      <c r="S207" s="566" t="e">
        <f>S31+S137+#REF!</f>
        <v>#REF!</v>
      </c>
      <c r="T207" s="566" t="e">
        <f t="shared" ref="T207:AN207" si="446">T31+T137</f>
        <v>#REF!</v>
      </c>
      <c r="U207" s="566" t="e">
        <f t="shared" si="446"/>
        <v>#REF!</v>
      </c>
      <c r="V207" s="566" t="e">
        <f t="shared" si="446"/>
        <v>#REF!</v>
      </c>
      <c r="W207" s="566" t="e">
        <f t="shared" si="446"/>
        <v>#REF!</v>
      </c>
      <c r="X207" s="566" t="e">
        <f t="shared" si="446"/>
        <v>#REF!</v>
      </c>
      <c r="Y207" s="566" t="e">
        <f t="shared" si="446"/>
        <v>#REF!</v>
      </c>
      <c r="Z207" s="566" t="e">
        <f t="shared" si="446"/>
        <v>#REF!</v>
      </c>
      <c r="AA207" s="566" t="e">
        <f t="shared" si="446"/>
        <v>#REF!</v>
      </c>
      <c r="AB207" s="566" t="e">
        <f t="shared" si="446"/>
        <v>#REF!</v>
      </c>
      <c r="AC207" s="566" t="e">
        <f t="shared" si="446"/>
        <v>#REF!</v>
      </c>
      <c r="AD207" s="566" t="e">
        <f t="shared" si="446"/>
        <v>#REF!</v>
      </c>
      <c r="AE207" s="566" t="e">
        <f t="shared" si="446"/>
        <v>#REF!</v>
      </c>
      <c r="AF207" s="566" t="e">
        <f t="shared" si="446"/>
        <v>#REF!</v>
      </c>
      <c r="AG207" s="566" t="e">
        <f t="shared" si="446"/>
        <v>#REF!</v>
      </c>
      <c r="AH207" s="566" t="e">
        <f t="shared" si="446"/>
        <v>#REF!</v>
      </c>
      <c r="AI207" s="566" t="e">
        <f t="shared" si="446"/>
        <v>#REF!</v>
      </c>
      <c r="AJ207" s="566" t="e">
        <f t="shared" si="446"/>
        <v>#REF!</v>
      </c>
      <c r="AK207" s="154" t="e">
        <f t="shared" si="446"/>
        <v>#REF!</v>
      </c>
      <c r="AL207" s="154" t="e">
        <f t="shared" si="446"/>
        <v>#REF!</v>
      </c>
      <c r="AM207" s="107" t="e">
        <f t="shared" si="446"/>
        <v>#REF!</v>
      </c>
      <c r="AN207" s="107" t="e">
        <f t="shared" si="446"/>
        <v>#REF!</v>
      </c>
      <c r="AO207" s="155">
        <v>1</v>
      </c>
      <c r="AP207" s="566" t="e">
        <f t="shared" ref="AP207:BJ207" si="447">AP31+AP137</f>
        <v>#REF!</v>
      </c>
      <c r="AQ207" s="566" t="e">
        <f t="shared" si="447"/>
        <v>#REF!</v>
      </c>
      <c r="AR207" s="154" t="e">
        <f t="shared" si="447"/>
        <v>#REF!</v>
      </c>
      <c r="AS207" s="566" t="e">
        <f t="shared" si="447"/>
        <v>#REF!</v>
      </c>
      <c r="AT207" s="566" t="e">
        <f t="shared" si="447"/>
        <v>#REF!</v>
      </c>
      <c r="AU207" s="566" t="e">
        <f t="shared" si="447"/>
        <v>#REF!</v>
      </c>
      <c r="AV207" s="566" t="e">
        <f t="shared" si="447"/>
        <v>#REF!</v>
      </c>
      <c r="AW207" s="566" t="e">
        <f t="shared" si="447"/>
        <v>#REF!</v>
      </c>
      <c r="AX207" s="566" t="e">
        <f t="shared" si="447"/>
        <v>#REF!</v>
      </c>
      <c r="AY207" s="566" t="e">
        <f t="shared" si="447"/>
        <v>#REF!</v>
      </c>
      <c r="AZ207" s="566" t="e">
        <f t="shared" si="447"/>
        <v>#REF!</v>
      </c>
      <c r="BA207" s="566" t="e">
        <f t="shared" si="447"/>
        <v>#REF!</v>
      </c>
      <c r="BB207" s="566" t="e">
        <f t="shared" si="447"/>
        <v>#REF!</v>
      </c>
      <c r="BC207" s="566" t="e">
        <f t="shared" si="447"/>
        <v>#REF!</v>
      </c>
      <c r="BD207" s="566" t="e">
        <f t="shared" si="447"/>
        <v>#REF!</v>
      </c>
      <c r="BE207" s="566" t="e">
        <f t="shared" si="447"/>
        <v>#REF!</v>
      </c>
      <c r="BF207" s="566" t="e">
        <f t="shared" si="447"/>
        <v>#REF!</v>
      </c>
      <c r="BG207" s="566" t="e">
        <f t="shared" si="447"/>
        <v>#REF!</v>
      </c>
      <c r="BH207" s="566" t="e">
        <f t="shared" si="447"/>
        <v>#REF!</v>
      </c>
      <c r="BI207" s="566" t="e">
        <f t="shared" si="447"/>
        <v>#REF!</v>
      </c>
      <c r="BJ207" s="566" t="e">
        <f t="shared" si="447"/>
        <v>#REF!</v>
      </c>
      <c r="BK207" s="156">
        <v>1</v>
      </c>
      <c r="BL207" s="154" t="e">
        <f t="shared" ref="BL207:CD207" si="448">BL31+BL137</f>
        <v>#REF!</v>
      </c>
      <c r="BM207" s="154" t="e">
        <f t="shared" si="448"/>
        <v>#REF!</v>
      </c>
      <c r="BN207" s="154" t="e">
        <f t="shared" si="448"/>
        <v>#REF!</v>
      </c>
      <c r="BO207" s="154" t="e">
        <f t="shared" si="448"/>
        <v>#REF!</v>
      </c>
      <c r="BP207" s="154" t="e">
        <f t="shared" si="448"/>
        <v>#REF!</v>
      </c>
      <c r="BQ207" s="154" t="e">
        <f t="shared" si="448"/>
        <v>#REF!</v>
      </c>
      <c r="BR207" s="154" t="e">
        <f t="shared" si="448"/>
        <v>#REF!</v>
      </c>
      <c r="BS207" s="154" t="e">
        <f t="shared" si="448"/>
        <v>#REF!</v>
      </c>
      <c r="BT207" s="154" t="e">
        <f t="shared" si="448"/>
        <v>#REF!</v>
      </c>
      <c r="BU207" s="154" t="e">
        <f t="shared" si="448"/>
        <v>#REF!</v>
      </c>
      <c r="BV207" s="566" t="e">
        <f t="shared" si="448"/>
        <v>#REF!</v>
      </c>
      <c r="BW207" s="566" t="e">
        <f t="shared" si="448"/>
        <v>#REF!</v>
      </c>
      <c r="BX207" s="566" t="e">
        <f t="shared" si="448"/>
        <v>#REF!</v>
      </c>
      <c r="BY207" s="566" t="e">
        <f t="shared" si="448"/>
        <v>#REF!</v>
      </c>
      <c r="BZ207" s="566" t="e">
        <f t="shared" si="448"/>
        <v>#REF!</v>
      </c>
      <c r="CA207" s="566" t="e">
        <f t="shared" si="448"/>
        <v>#REF!</v>
      </c>
      <c r="CB207" s="566" t="e">
        <f t="shared" si="448"/>
        <v>#REF!</v>
      </c>
      <c r="CC207" s="566" t="e">
        <f t="shared" si="448"/>
        <v>#REF!</v>
      </c>
      <c r="CD207" s="566" t="e">
        <f t="shared" si="448"/>
        <v>#REF!</v>
      </c>
      <c r="CE207" s="154">
        <v>1</v>
      </c>
      <c r="CF207" s="154" t="e">
        <f>CF31+CF137</f>
        <v>#REF!</v>
      </c>
      <c r="CG207" s="566"/>
      <c r="CH207" s="566" t="e">
        <f t="shared" ref="CH207:CV207" si="449">CH31+CH137</f>
        <v>#REF!</v>
      </c>
      <c r="CI207" s="566" t="e">
        <f t="shared" si="449"/>
        <v>#REF!</v>
      </c>
      <c r="CJ207" s="566" t="e">
        <f t="shared" si="449"/>
        <v>#REF!</v>
      </c>
      <c r="CK207" s="566" t="e">
        <f t="shared" si="449"/>
        <v>#REF!</v>
      </c>
      <c r="CL207" s="566" t="e">
        <f t="shared" si="449"/>
        <v>#REF!</v>
      </c>
      <c r="CM207" s="566" t="e">
        <f t="shared" si="449"/>
        <v>#REF!</v>
      </c>
      <c r="CN207" s="566" t="e">
        <f t="shared" si="449"/>
        <v>#REF!</v>
      </c>
      <c r="CO207" s="566" t="e">
        <f t="shared" si="449"/>
        <v>#REF!</v>
      </c>
      <c r="CP207" s="566" t="e">
        <f t="shared" si="449"/>
        <v>#REF!</v>
      </c>
      <c r="CQ207" s="566" t="e">
        <f t="shared" si="449"/>
        <v>#REF!</v>
      </c>
      <c r="CR207" s="566" t="e">
        <f t="shared" si="449"/>
        <v>#REF!</v>
      </c>
      <c r="CS207" s="566" t="e">
        <f t="shared" si="449"/>
        <v>#REF!</v>
      </c>
      <c r="CT207" s="566" t="e">
        <f t="shared" si="449"/>
        <v>#REF!</v>
      </c>
      <c r="CU207" s="566" t="e">
        <f t="shared" si="449"/>
        <v>#REF!</v>
      </c>
      <c r="CV207" s="566" t="e">
        <f t="shared" si="449"/>
        <v>#REF!</v>
      </c>
      <c r="CW207" s="566" t="e">
        <f t="shared" ref="CW207:EB207" si="450">CW31+CW137+CW186+CW189+CW175</f>
        <v>#REF!</v>
      </c>
      <c r="CX207" s="566" t="e">
        <f t="shared" si="450"/>
        <v>#REF!</v>
      </c>
      <c r="CY207" s="566">
        <f t="shared" si="450"/>
        <v>182776.424</v>
      </c>
      <c r="CZ207" s="566">
        <f t="shared" si="450"/>
        <v>1892837.2940000002</v>
      </c>
      <c r="DA207" s="566">
        <f t="shared" si="450"/>
        <v>1708837.294</v>
      </c>
      <c r="DB207" s="566">
        <f t="shared" si="450"/>
        <v>184000</v>
      </c>
      <c r="DC207" s="566">
        <f t="shared" si="450"/>
        <v>332614.32913999999</v>
      </c>
      <c r="DD207" s="566">
        <f t="shared" si="450"/>
        <v>332614.32913999999</v>
      </c>
      <c r="DE207" s="566">
        <f t="shared" si="450"/>
        <v>0</v>
      </c>
      <c r="DF207" s="566" t="e">
        <f t="shared" si="450"/>
        <v>#REF!</v>
      </c>
      <c r="DG207" s="566" t="e">
        <f t="shared" si="450"/>
        <v>#REF!</v>
      </c>
      <c r="DH207" s="566">
        <f t="shared" si="450"/>
        <v>0</v>
      </c>
      <c r="DI207" s="566" t="e">
        <f t="shared" si="450"/>
        <v>#REF!</v>
      </c>
      <c r="DJ207" s="566" t="e">
        <f t="shared" si="450"/>
        <v>#REF!</v>
      </c>
      <c r="DK207" s="566">
        <f t="shared" si="450"/>
        <v>182776.424</v>
      </c>
      <c r="DL207" s="566">
        <f t="shared" si="450"/>
        <v>1697885.8911600001</v>
      </c>
      <c r="DM207" s="566">
        <f t="shared" si="450"/>
        <v>1617342.2461600001</v>
      </c>
      <c r="DN207" s="566">
        <f t="shared" si="450"/>
        <v>80543.645000000004</v>
      </c>
      <c r="DO207" s="566">
        <f t="shared" si="450"/>
        <v>-116127.76836</v>
      </c>
      <c r="DP207" s="566">
        <f t="shared" si="450"/>
        <v>-116127.76836</v>
      </c>
      <c r="DQ207" s="566">
        <f t="shared" si="450"/>
        <v>0</v>
      </c>
      <c r="DR207" s="566">
        <f t="shared" si="450"/>
        <v>-1068043.52183</v>
      </c>
      <c r="DS207" s="566">
        <f t="shared" si="450"/>
        <v>-1164730.00083</v>
      </c>
      <c r="DT207" s="566">
        <f t="shared" si="450"/>
        <v>96686.478999999992</v>
      </c>
      <c r="DU207" s="566">
        <f t="shared" si="450"/>
        <v>1664425.9939999999</v>
      </c>
      <c r="DV207" s="566">
        <f t="shared" si="450"/>
        <v>1480425.9939999999</v>
      </c>
      <c r="DW207" s="566">
        <f t="shared" si="450"/>
        <v>184000</v>
      </c>
      <c r="DX207" s="566">
        <f t="shared" si="450"/>
        <v>2169171.1233999999</v>
      </c>
      <c r="DY207" s="566">
        <f t="shared" si="450"/>
        <v>2058921.1233999999</v>
      </c>
      <c r="DZ207" s="566">
        <f t="shared" si="450"/>
        <v>110250</v>
      </c>
      <c r="EA207" s="566">
        <f t="shared" si="450"/>
        <v>726987.68105999997</v>
      </c>
      <c r="EB207" s="566">
        <f t="shared" si="450"/>
        <v>726987.68105999997</v>
      </c>
      <c r="EC207" s="566">
        <f t="shared" ref="EC207:FH207" si="451">EC31+EC137+EC186+EC189+EC175</f>
        <v>0</v>
      </c>
      <c r="ED207" s="566">
        <f t="shared" si="451"/>
        <v>-711523.87925999996</v>
      </c>
      <c r="EE207" s="566">
        <f t="shared" si="451"/>
        <v>-585037.81725999992</v>
      </c>
      <c r="EF207" s="566">
        <f t="shared" si="451"/>
        <v>-126486.06200000001</v>
      </c>
      <c r="EG207" s="566">
        <f t="shared" si="451"/>
        <v>4529887.5646700002</v>
      </c>
      <c r="EH207" s="566">
        <f t="shared" si="451"/>
        <v>4270832.17667</v>
      </c>
      <c r="EI207" s="566">
        <f t="shared" si="451"/>
        <v>0</v>
      </c>
      <c r="EJ207" s="566">
        <f t="shared" si="451"/>
        <v>259055.38800000004</v>
      </c>
      <c r="EK207" s="566">
        <f t="shared" si="451"/>
        <v>-117785.48944999999</v>
      </c>
      <c r="EL207" s="566">
        <f t="shared" si="451"/>
        <v>-117785.48944999999</v>
      </c>
      <c r="EM207" s="566">
        <f t="shared" si="451"/>
        <v>0</v>
      </c>
      <c r="EN207" s="566">
        <f t="shared" si="451"/>
        <v>0</v>
      </c>
      <c r="EO207" s="566" t="e">
        <f t="shared" si="451"/>
        <v>#REF!</v>
      </c>
      <c r="EP207" s="566">
        <f t="shared" si="451"/>
        <v>0</v>
      </c>
      <c r="EQ207" s="566">
        <f t="shared" si="451"/>
        <v>0</v>
      </c>
      <c r="ER207" s="566" t="e">
        <f t="shared" si="451"/>
        <v>#REF!</v>
      </c>
      <c r="ES207" s="566">
        <f t="shared" si="451"/>
        <v>238930.83270999999</v>
      </c>
      <c r="ET207" s="566">
        <f t="shared" si="451"/>
        <v>249043.46570999999</v>
      </c>
      <c r="EU207" s="566">
        <f t="shared" si="451"/>
        <v>0</v>
      </c>
      <c r="EV207" s="566">
        <f t="shared" si="451"/>
        <v>-10112.633</v>
      </c>
      <c r="EW207" s="566">
        <f t="shared" si="451"/>
        <v>2210579.8066699998</v>
      </c>
      <c r="EX207" s="566">
        <f t="shared" si="451"/>
        <v>2100329.8066699998</v>
      </c>
      <c r="EY207" s="566">
        <f t="shared" si="451"/>
        <v>110250</v>
      </c>
      <c r="EZ207" s="566" t="e">
        <f t="shared" si="451"/>
        <v>#REF!</v>
      </c>
      <c r="FA207" s="566" t="e">
        <f t="shared" si="451"/>
        <v>#REF!</v>
      </c>
      <c r="FB207" s="566">
        <f t="shared" si="451"/>
        <v>0</v>
      </c>
      <c r="FC207" s="152">
        <f t="shared" si="451"/>
        <v>5418299.3761900011</v>
      </c>
      <c r="FD207" s="152">
        <f t="shared" si="451"/>
        <v>5101632.4390100008</v>
      </c>
      <c r="FE207" s="152">
        <f t="shared" si="451"/>
        <v>0</v>
      </c>
      <c r="FF207" s="152">
        <f t="shared" si="451"/>
        <v>316666.93717999995</v>
      </c>
      <c r="FG207" s="152" t="e">
        <f t="shared" si="451"/>
        <v>#REF!</v>
      </c>
      <c r="FH207" s="152" t="e">
        <f t="shared" si="451"/>
        <v>#REF!</v>
      </c>
      <c r="FI207" s="152">
        <f t="shared" ref="FI207:FR207" si="452">FI31+FI137+FI186+FI189+FI175</f>
        <v>0</v>
      </c>
      <c r="FJ207" s="152">
        <f t="shared" si="452"/>
        <v>64356.747620000002</v>
      </c>
      <c r="FK207" s="152">
        <f t="shared" si="452"/>
        <v>-40826.822620000006</v>
      </c>
      <c r="FL207" s="152">
        <f t="shared" si="452"/>
        <v>0</v>
      </c>
      <c r="FM207" s="152">
        <f t="shared" si="452"/>
        <v>0</v>
      </c>
      <c r="FN207" s="152">
        <f t="shared" si="452"/>
        <v>-40826.822620000006</v>
      </c>
      <c r="FO207" s="152">
        <f t="shared" si="452"/>
        <v>4648361.6334899999</v>
      </c>
      <c r="FP207" s="152">
        <f t="shared" si="452"/>
        <v>4338043.8363300003</v>
      </c>
      <c r="FQ207" s="152">
        <f t="shared" si="452"/>
        <v>0</v>
      </c>
      <c r="FR207" s="152">
        <f t="shared" si="452"/>
        <v>310317.79716000002</v>
      </c>
      <c r="FS207" s="39">
        <f t="shared" si="338"/>
        <v>3561200.6937500001</v>
      </c>
      <c r="FT207" s="485">
        <f t="shared" si="355"/>
        <v>0.65725432400417461</v>
      </c>
      <c r="FU207" s="152">
        <f>FU31+FU137+FU186+FU189+FU175</f>
        <v>3515105.7724200003</v>
      </c>
      <c r="FV207" s="485">
        <f t="shared" si="356"/>
        <v>0.68901588157184557</v>
      </c>
      <c r="FW207" s="658">
        <f>FW31+FW137+FW186+FW189+FW175</f>
        <v>0</v>
      </c>
      <c r="FX207" s="660">
        <v>0</v>
      </c>
      <c r="FY207" s="152">
        <f>FY31+FY137+FY186+FY189+FY175</f>
        <v>46094.921329999997</v>
      </c>
      <c r="FZ207" s="485">
        <f t="shared" si="360"/>
        <v>0.14556278511576567</v>
      </c>
      <c r="GA207" s="152">
        <f t="shared" si="361"/>
        <v>3087824.8664299999</v>
      </c>
      <c r="GB207" s="485">
        <f t="shared" si="362"/>
        <v>0.56988819776165145</v>
      </c>
      <c r="GC207" s="152">
        <f>GC31+GC137+GC186+GC189+GC175</f>
        <v>3041729.9451000001</v>
      </c>
      <c r="GD207" s="485">
        <f t="shared" si="376"/>
        <v>0.5962267923971144</v>
      </c>
      <c r="GE207" s="566">
        <f>GE31+GE137+GE186+GE189+GE175</f>
        <v>0</v>
      </c>
      <c r="GF207" s="498"/>
      <c r="GG207" s="659">
        <f>GG31+GG137+GG186+GG189+GG175</f>
        <v>46094.921329999997</v>
      </c>
      <c r="GH207" s="485">
        <f t="shared" si="364"/>
        <v>0.14556278511576567</v>
      </c>
      <c r="GI207" s="152">
        <f t="shared" si="365"/>
        <v>4831293.5311599998</v>
      </c>
      <c r="GJ207" s="485">
        <f t="shared" si="366"/>
        <v>0.89166234564123181</v>
      </c>
      <c r="GK207" s="152">
        <f>GK31+GK137+GK186+GK189+GK175</f>
        <v>4515396.8921400001</v>
      </c>
      <c r="GL207" s="485">
        <f t="shared" si="368"/>
        <v>0.8850886350832905</v>
      </c>
      <c r="GM207" s="634">
        <f>GM31+GM137+GM186+GM189+GM175</f>
        <v>0</v>
      </c>
      <c r="GN207" s="485">
        <v>0</v>
      </c>
      <c r="GO207" s="152">
        <f>GO31+GO137+GO186+GO189+GO175</f>
        <v>315896.63902</v>
      </c>
      <c r="GP207" s="485">
        <f>GO207/FF207</f>
        <v>0.99756748157272224</v>
      </c>
      <c r="GQ207" s="566"/>
      <c r="GR207" s="566"/>
      <c r="GS207" s="566"/>
      <c r="GT207" s="566"/>
      <c r="GU207" s="566">
        <f>GU31+GU137+GU186+GU189+GU175</f>
        <v>4548157.8418699997</v>
      </c>
      <c r="GV207" s="566">
        <f>GV31+GV137+GV186+GV189+GV175</f>
        <v>4215869.4948699996</v>
      </c>
      <c r="GW207" s="566">
        <f>GW31+GW137+GW186+GW189+GW175</f>
        <v>0</v>
      </c>
      <c r="GX207" s="566">
        <f>GX31+GX137+GX186+GX189+GX175</f>
        <v>332288.34700000001</v>
      </c>
      <c r="GY207" s="566"/>
      <c r="GZ207" s="566"/>
      <c r="HA207" s="566"/>
      <c r="HB207" s="566"/>
      <c r="HC207" s="566"/>
      <c r="HD207" s="566"/>
      <c r="HE207" s="566"/>
      <c r="HF207" s="566"/>
      <c r="HG207" s="566">
        <f t="shared" ref="HG207:ID207" si="453">HG31+HG137+HG186+HG189+HG175</f>
        <v>-905094.46825000003</v>
      </c>
      <c r="HH207" s="566">
        <f t="shared" si="453"/>
        <v>-983000</v>
      </c>
      <c r="HI207" s="566">
        <f t="shared" si="453"/>
        <v>0</v>
      </c>
      <c r="HJ207" s="566">
        <f t="shared" si="453"/>
        <v>77905.531750000009</v>
      </c>
      <c r="HK207" s="566" t="e">
        <f t="shared" si="453"/>
        <v>#REF!</v>
      </c>
      <c r="HL207" s="566" t="e">
        <f t="shared" si="453"/>
        <v>#REF!</v>
      </c>
      <c r="HM207" s="566">
        <f t="shared" si="453"/>
        <v>0</v>
      </c>
      <c r="HN207" s="566">
        <f t="shared" si="453"/>
        <v>0</v>
      </c>
      <c r="HO207" s="566">
        <f t="shared" si="453"/>
        <v>3643063.3736200002</v>
      </c>
      <c r="HP207" s="152">
        <f t="shared" si="453"/>
        <v>3232869.4948700001</v>
      </c>
      <c r="HQ207" s="566">
        <f t="shared" si="453"/>
        <v>0</v>
      </c>
      <c r="HR207" s="566">
        <f t="shared" si="453"/>
        <v>410193.87875000003</v>
      </c>
      <c r="HS207" s="566">
        <f t="shared" si="453"/>
        <v>2451648.2294999999</v>
      </c>
      <c r="HT207" s="566">
        <f t="shared" si="453"/>
        <v>2359654.3295</v>
      </c>
      <c r="HU207" s="566">
        <f t="shared" si="453"/>
        <v>0</v>
      </c>
      <c r="HV207" s="566">
        <f t="shared" si="453"/>
        <v>91993.9</v>
      </c>
      <c r="HW207" s="566">
        <f t="shared" si="453"/>
        <v>2212141.5167100001</v>
      </c>
      <c r="HX207" s="566">
        <f t="shared" si="453"/>
        <v>2152470</v>
      </c>
      <c r="HY207" s="566">
        <f t="shared" si="453"/>
        <v>0</v>
      </c>
      <c r="HZ207" s="566">
        <f t="shared" si="453"/>
        <v>59671.516710000004</v>
      </c>
      <c r="IA207" s="566">
        <f t="shared" si="453"/>
        <v>4663789.7462099995</v>
      </c>
      <c r="IB207" s="566">
        <f t="shared" si="453"/>
        <v>4512124.3295</v>
      </c>
      <c r="IC207" s="566">
        <f t="shared" si="453"/>
        <v>0</v>
      </c>
      <c r="ID207" s="566">
        <f t="shared" si="453"/>
        <v>151665.41670999999</v>
      </c>
      <c r="IE207" s="570"/>
      <c r="IF207" s="204"/>
      <c r="IG207" s="204"/>
      <c r="IH207" s="204"/>
    </row>
    <row r="208" spans="2:249" s="214" customFormat="1" ht="45.75" customHeight="1" x14ac:dyDescent="0.25">
      <c r="B208" s="100"/>
      <c r="C208" s="101" t="s">
        <v>131</v>
      </c>
      <c r="D208" s="102"/>
      <c r="E208" s="103"/>
      <c r="F208" s="103"/>
      <c r="G208" s="103"/>
      <c r="H208" s="143"/>
      <c r="I208" s="103"/>
      <c r="J208" s="103"/>
      <c r="K208" s="103"/>
      <c r="L208" s="103"/>
      <c r="M208" s="103"/>
      <c r="N208" s="143"/>
      <c r="O208" s="103"/>
      <c r="P208" s="103"/>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9"/>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10"/>
      <c r="BL208" s="106"/>
      <c r="BM208" s="105"/>
      <c r="BN208" s="105"/>
      <c r="BO208" s="105"/>
      <c r="BP208" s="105"/>
      <c r="BQ208" s="105"/>
      <c r="BR208" s="105"/>
      <c r="BS208" s="105"/>
      <c r="BT208" s="105"/>
      <c r="BU208" s="105"/>
      <c r="BV208" s="105"/>
      <c r="BW208" s="105"/>
      <c r="BX208" s="105"/>
      <c r="BY208" s="105"/>
      <c r="BZ208" s="105"/>
      <c r="CA208" s="105"/>
      <c r="CB208" s="105"/>
      <c r="CC208" s="105"/>
      <c r="CD208" s="105"/>
      <c r="CE208" s="106"/>
      <c r="CF208" s="106"/>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c r="DC208" s="105"/>
      <c r="DD208" s="105"/>
      <c r="DE208" s="105"/>
      <c r="DF208" s="105"/>
      <c r="DG208" s="105"/>
      <c r="DH208" s="105"/>
      <c r="DI208" s="105"/>
      <c r="DJ208" s="105"/>
      <c r="DK208" s="105"/>
      <c r="DL208" s="105"/>
      <c r="DM208" s="105"/>
      <c r="DN208" s="105"/>
      <c r="DO208" s="105"/>
      <c r="DP208" s="105"/>
      <c r="DQ208" s="105"/>
      <c r="DR208" s="105"/>
      <c r="DS208" s="105"/>
      <c r="DT208" s="105"/>
      <c r="DU208" s="105"/>
      <c r="DV208" s="105"/>
      <c r="DW208" s="105"/>
      <c r="DX208" s="105"/>
      <c r="DY208" s="105"/>
      <c r="DZ208" s="105"/>
      <c r="EA208" s="105"/>
      <c r="EB208" s="105"/>
      <c r="EC208" s="105"/>
      <c r="ED208" s="105"/>
      <c r="EE208" s="105"/>
      <c r="EF208" s="105"/>
      <c r="EG208" s="105">
        <f>EH208+EI208+EJ208</f>
        <v>1829887.56467</v>
      </c>
      <c r="EH208" s="105">
        <f>EH32+EH137+EH175+EH186+EH189</f>
        <v>1570832.17667</v>
      </c>
      <c r="EI208" s="105">
        <f>EI32+EI137+EI175+EI186+EI189</f>
        <v>0</v>
      </c>
      <c r="EJ208" s="105">
        <f>EJ32+EJ137+EJ175+EJ186+EJ189</f>
        <v>259055.38800000004</v>
      </c>
      <c r="EK208" s="105">
        <f>EL208+EM208+EN208</f>
        <v>-117785.48944999999</v>
      </c>
      <c r="EL208" s="105">
        <f>EL32+EL137+EL175+EL186+EL189</f>
        <v>-117785.48944999999</v>
      </c>
      <c r="EM208" s="105">
        <f>EM32+EM137+EM175+EM186+EM189</f>
        <v>0</v>
      </c>
      <c r="EN208" s="105">
        <f>EN32+EN137+EN175+EN186+EN189</f>
        <v>0</v>
      </c>
      <c r="EO208" s="105"/>
      <c r="EP208" s="105"/>
      <c r="EQ208" s="105"/>
      <c r="ER208" s="105"/>
      <c r="ES208" s="105">
        <f>ET208+EU208+EV208</f>
        <v>238930.83270999999</v>
      </c>
      <c r="ET208" s="105">
        <f>ET32+ET137+ET175+ET186+ET189</f>
        <v>249043.46570999999</v>
      </c>
      <c r="EU208" s="105">
        <f>EU32+EU137+EU175+EU186+EU189</f>
        <v>0</v>
      </c>
      <c r="EV208" s="105">
        <f>EV32+EV137+EV175+EV186+EV189</f>
        <v>-10112.633</v>
      </c>
      <c r="EW208" s="105"/>
      <c r="EX208" s="105"/>
      <c r="EY208" s="105"/>
      <c r="EZ208" s="105"/>
      <c r="FA208" s="105"/>
      <c r="FB208" s="105"/>
      <c r="FC208" s="103">
        <f>FD208+FE208+FF208</f>
        <v>2268299.3761900002</v>
      </c>
      <c r="FD208" s="103">
        <f>FD32+FD137+FD175+FD186+FD189</f>
        <v>1951632.4390100001</v>
      </c>
      <c r="FE208" s="103">
        <f>FE32+FE137+FE175+FE186+FE189</f>
        <v>0</v>
      </c>
      <c r="FF208" s="103">
        <f>FF32+FF137+FF175+FF186+FF189</f>
        <v>316666.93717999995</v>
      </c>
      <c r="FG208" s="103" t="e">
        <f>FH208+FI208+FJ208</f>
        <v>#REF!</v>
      </c>
      <c r="FH208" s="103" t="e">
        <f>FH32+FH137+FH175+FH186+FH189</f>
        <v>#REF!</v>
      </c>
      <c r="FI208" s="103">
        <f>FI32+FI137+FI175+FI186+FI189</f>
        <v>0</v>
      </c>
      <c r="FJ208" s="103">
        <f>FJ32+FJ137+FJ175+FJ186+FJ189</f>
        <v>64356.747620000002</v>
      </c>
      <c r="FK208" s="103"/>
      <c r="FL208" s="103"/>
      <c r="FM208" s="103"/>
      <c r="FN208" s="103"/>
      <c r="FO208" s="103">
        <f>FP208+FQ208+FR208</f>
        <v>2298361.6334900004</v>
      </c>
      <c r="FP208" s="103">
        <f>FP32+FP137+FP175+FP186+FP189</f>
        <v>1988043.8363300003</v>
      </c>
      <c r="FQ208" s="103">
        <f>FQ32+FQ137+FQ175+FQ186+FQ189</f>
        <v>0</v>
      </c>
      <c r="FR208" s="103">
        <f>FR32+FR137+FR175+FR186+FR189</f>
        <v>310317.79716000002</v>
      </c>
      <c r="FS208" s="629">
        <f t="shared" si="338"/>
        <v>1365243.3621000003</v>
      </c>
      <c r="FT208" s="595">
        <f t="shared" si="355"/>
        <v>0.60187970619343989</v>
      </c>
      <c r="FU208" s="103">
        <f>FU32+FU137+FU175+FU186+FU189</f>
        <v>1319148.4407700002</v>
      </c>
      <c r="FV208" s="595">
        <f t="shared" si="356"/>
        <v>0.6759205342165564</v>
      </c>
      <c r="FW208" s="105">
        <f>FW32+FW137+FW175+FW186+FW189</f>
        <v>0</v>
      </c>
      <c r="FX208" s="666">
        <v>0</v>
      </c>
      <c r="FY208" s="103">
        <f>FY32+FY137+FY175+FY186+FY189</f>
        <v>46094.921329999997</v>
      </c>
      <c r="FZ208" s="595">
        <f t="shared" si="360"/>
        <v>0.14556278511576567</v>
      </c>
      <c r="GA208" s="103">
        <f t="shared" si="361"/>
        <v>1102081.1525200002</v>
      </c>
      <c r="GB208" s="595">
        <f t="shared" si="362"/>
        <v>0.48586230022737803</v>
      </c>
      <c r="GC208" s="103">
        <f>GC32+GC137+GC175+GC186+GC189</f>
        <v>1055986.2311900002</v>
      </c>
      <c r="GD208" s="595">
        <f t="shared" si="376"/>
        <v>0.54107843776447362</v>
      </c>
      <c r="GE208" s="105">
        <f>GE32+GE137+GE175+GE186+GE189</f>
        <v>0</v>
      </c>
      <c r="GF208" s="514"/>
      <c r="GG208" s="105">
        <f>GG32+GG137+GG175+GG186+GG189</f>
        <v>46094.921329999997</v>
      </c>
      <c r="GH208" s="595">
        <f t="shared" si="364"/>
        <v>0.14556278511576567</v>
      </c>
      <c r="GI208" s="103">
        <f t="shared" si="365"/>
        <v>2070793.5311600002</v>
      </c>
      <c r="GJ208" s="595">
        <f t="shared" si="366"/>
        <v>0.91292778761781213</v>
      </c>
      <c r="GK208" s="103">
        <f>GK32+GK137+GK175+GK186+GK189</f>
        <v>1754896.8921400004</v>
      </c>
      <c r="GL208" s="595">
        <f t="shared" si="368"/>
        <v>0.89919436522084184</v>
      </c>
      <c r="GM208" s="103">
        <f>GM32+GM137+GM175+GM186+GM189</f>
        <v>0</v>
      </c>
      <c r="GN208" s="595">
        <v>0</v>
      </c>
      <c r="GO208" s="103">
        <f>GO137</f>
        <v>315896.63902</v>
      </c>
      <c r="GP208" s="595">
        <f>GO208/FF208</f>
        <v>0.99756748157272224</v>
      </c>
      <c r="GQ208" s="105"/>
      <c r="GR208" s="105"/>
      <c r="GS208" s="105"/>
      <c r="GT208" s="105"/>
      <c r="GU208" s="105">
        <f>GV208+GW208+GX208</f>
        <v>1848157.8418700001</v>
      </c>
      <c r="GV208" s="105">
        <f>GV32+GV137+GV175+GV186+GV189</f>
        <v>1515869.4948700001</v>
      </c>
      <c r="GW208" s="105">
        <f>GW32+GW137+GW175+GW186+GW189</f>
        <v>0</v>
      </c>
      <c r="GX208" s="105">
        <f>GX32+GX137+GX175+GX186+GX189</f>
        <v>332288.34700000001</v>
      </c>
      <c r="GY208" s="144"/>
      <c r="GZ208" s="144"/>
      <c r="HA208" s="144"/>
      <c r="HB208" s="144"/>
      <c r="HC208" s="144"/>
      <c r="HD208" s="144"/>
      <c r="HE208" s="144"/>
      <c r="HF208" s="144"/>
      <c r="HG208" s="105">
        <f>HH208+HI208+HJ208</f>
        <v>77905.531750000009</v>
      </c>
      <c r="HH208" s="105">
        <f>HH32+HH137+HH175+HH186+HH189</f>
        <v>0</v>
      </c>
      <c r="HI208" s="105">
        <f>HI32+HI137+HI175+HI186+HI189</f>
        <v>0</v>
      </c>
      <c r="HJ208" s="105">
        <f>HJ32+HJ137+HJ175+HJ186+HJ189</f>
        <v>77905.531750000009</v>
      </c>
      <c r="HK208" s="105" t="e">
        <f>HL208+HM208+HN208</f>
        <v>#REF!</v>
      </c>
      <c r="HL208" s="105" t="e">
        <f>HL32+HL137+HL175+HL186+HL189</f>
        <v>#REF!</v>
      </c>
      <c r="HM208" s="105">
        <f>HM32+HM137+HM175+HM186+HM189</f>
        <v>0</v>
      </c>
      <c r="HN208" s="105">
        <f>HN32+HN137+HN175+HN186+HN189</f>
        <v>0</v>
      </c>
      <c r="HO208" s="105">
        <f>HP208+HQ208+HR208</f>
        <v>1926063.3736200002</v>
      </c>
      <c r="HP208" s="105">
        <f>HP32+HP137+HP175+HP186+HP189</f>
        <v>1515869.4948700001</v>
      </c>
      <c r="HQ208" s="105">
        <f>HQ32+HQ137+HQ175+HQ186+HQ189</f>
        <v>0</v>
      </c>
      <c r="HR208" s="105">
        <f>HR32+HR137+HR175+HR186+HR189</f>
        <v>410193.87875000003</v>
      </c>
      <c r="HS208" s="105">
        <f>HT208+HU208+HV208</f>
        <v>2451648.2294999999</v>
      </c>
      <c r="HT208" s="105">
        <f>HT32+HT137+HT175+HT186+HT189</f>
        <v>2359654.3295</v>
      </c>
      <c r="HU208" s="105">
        <f>HU32+HU137+HU175+HU186+HU189</f>
        <v>0</v>
      </c>
      <c r="HV208" s="105">
        <f>HV32+HV137+HV175+HV186+HV189</f>
        <v>91993.9</v>
      </c>
      <c r="HW208" s="105">
        <f>HX208+HY208+HZ208</f>
        <v>59671.516710000004</v>
      </c>
      <c r="HX208" s="105">
        <f>HX32+HX137+HX175+HX186+HX189</f>
        <v>0</v>
      </c>
      <c r="HY208" s="105">
        <f>HY32+HY137+HY175+HY186+HY189</f>
        <v>0</v>
      </c>
      <c r="HZ208" s="105">
        <f>HZ32+HZ137+HZ175+HZ186+HZ189</f>
        <v>59671.516710000004</v>
      </c>
      <c r="IA208" s="105">
        <f>IB208+IC208+ID208</f>
        <v>2511319.74621</v>
      </c>
      <c r="IB208" s="105">
        <f>IB32+IB137+IB175+IB186+IB189</f>
        <v>2359654.3295</v>
      </c>
      <c r="IC208" s="105">
        <f>IC32+IC137+IC175+IC186+IC189</f>
        <v>0</v>
      </c>
      <c r="ID208" s="105">
        <f>ID32+ID137+ID175+ID186+ID189</f>
        <v>151665.41670999999</v>
      </c>
      <c r="IE208" s="198"/>
      <c r="IF208" s="141"/>
      <c r="IG208" s="141"/>
      <c r="IH208" s="141"/>
      <c r="II208" s="202"/>
      <c r="IJ208" s="202"/>
      <c r="IK208" s="202"/>
      <c r="IL208" s="202"/>
      <c r="IM208" s="202"/>
      <c r="IN208" s="202"/>
      <c r="IO208" s="202"/>
    </row>
    <row r="209" spans="1:249" s="127" customFormat="1" ht="46.5" customHeight="1" x14ac:dyDescent="0.25">
      <c r="B209" s="115"/>
      <c r="C209" s="116" t="s">
        <v>132</v>
      </c>
      <c r="D209" s="117"/>
      <c r="E209" s="118"/>
      <c r="F209" s="118"/>
      <c r="G209" s="118"/>
      <c r="H209" s="118"/>
      <c r="I209" s="118"/>
      <c r="J209" s="118"/>
      <c r="K209" s="118"/>
      <c r="L209" s="118"/>
      <c r="M209" s="118"/>
      <c r="N209" s="118"/>
      <c r="O209" s="118"/>
      <c r="P209" s="118"/>
      <c r="Q209" s="119"/>
      <c r="R209" s="119"/>
      <c r="S209" s="119"/>
      <c r="T209" s="119"/>
      <c r="U209" s="119"/>
      <c r="V209" s="119"/>
      <c r="W209" s="119"/>
      <c r="X209" s="119"/>
      <c r="Y209" s="119"/>
      <c r="Z209" s="119"/>
      <c r="AA209" s="119"/>
      <c r="AB209" s="119"/>
      <c r="AC209" s="119"/>
      <c r="AD209" s="119"/>
      <c r="AE209" s="119"/>
      <c r="AF209" s="119"/>
      <c r="AG209" s="119"/>
      <c r="AH209" s="119"/>
      <c r="AI209" s="120"/>
      <c r="AJ209" s="119"/>
      <c r="AK209" s="119"/>
      <c r="AL209" s="119"/>
      <c r="AM209" s="121"/>
      <c r="AN209" s="119"/>
      <c r="AO209" s="122"/>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23"/>
      <c r="BL209" s="124"/>
      <c r="BM209" s="124"/>
      <c r="BN209" s="124"/>
      <c r="BO209" s="124"/>
      <c r="BP209" s="124"/>
      <c r="BQ209" s="124"/>
      <c r="BR209" s="124"/>
      <c r="BS209" s="124"/>
      <c r="BT209" s="124"/>
      <c r="BU209" s="124"/>
      <c r="BV209" s="119"/>
      <c r="BW209" s="119"/>
      <c r="BX209" s="119"/>
      <c r="BY209" s="119"/>
      <c r="BZ209" s="119"/>
      <c r="CA209" s="119"/>
      <c r="CB209" s="119"/>
      <c r="CC209" s="119"/>
      <c r="CD209" s="119"/>
      <c r="CE209" s="124"/>
      <c r="CF209" s="124"/>
      <c r="CG209" s="119"/>
      <c r="CH209" s="119"/>
      <c r="CI209" s="119"/>
      <c r="CJ209" s="119"/>
      <c r="CK209" s="119"/>
      <c r="CL209" s="119"/>
      <c r="CM209" s="119"/>
      <c r="CN209" s="119"/>
      <c r="CO209" s="119"/>
      <c r="CP209" s="119"/>
      <c r="CQ209" s="119"/>
      <c r="CR209" s="119"/>
      <c r="CS209" s="119"/>
      <c r="CT209" s="119"/>
      <c r="CU209" s="119"/>
      <c r="CV209" s="119"/>
      <c r="CW209" s="119"/>
      <c r="CX209" s="119"/>
      <c r="CY209" s="119"/>
      <c r="CZ209" s="119"/>
      <c r="DA209" s="119"/>
      <c r="DB209" s="119"/>
      <c r="DC209" s="119"/>
      <c r="DD209" s="119"/>
      <c r="DE209" s="119"/>
      <c r="DF209" s="119"/>
      <c r="DG209" s="119"/>
      <c r="DH209" s="119"/>
      <c r="DI209" s="119"/>
      <c r="DJ209" s="119"/>
      <c r="DK209" s="119"/>
      <c r="DL209" s="119"/>
      <c r="DM209" s="119"/>
      <c r="DN209" s="119"/>
      <c r="DO209" s="119"/>
      <c r="DP209" s="119"/>
      <c r="DQ209" s="119"/>
      <c r="DR209" s="119"/>
      <c r="DS209" s="119"/>
      <c r="DT209" s="119"/>
      <c r="DU209" s="119"/>
      <c r="DV209" s="119"/>
      <c r="DW209" s="119"/>
      <c r="DX209" s="119"/>
      <c r="DY209" s="119"/>
      <c r="DZ209" s="119"/>
      <c r="EA209" s="119"/>
      <c r="EB209" s="119"/>
      <c r="EC209" s="119"/>
      <c r="ED209" s="119"/>
      <c r="EE209" s="119"/>
      <c r="EF209" s="119"/>
      <c r="EG209" s="119">
        <f>EH209+EI209+EJ209</f>
        <v>2700000</v>
      </c>
      <c r="EH209" s="119">
        <f>EH33</f>
        <v>2700000</v>
      </c>
      <c r="EI209" s="119">
        <f>EI33</f>
        <v>0</v>
      </c>
      <c r="EJ209" s="119">
        <f>EJ33</f>
        <v>0</v>
      </c>
      <c r="EK209" s="119">
        <f>EL209+EM209+EN209</f>
        <v>0</v>
      </c>
      <c r="EL209" s="119">
        <f>EL33</f>
        <v>0</v>
      </c>
      <c r="EM209" s="119">
        <f>EM33</f>
        <v>0</v>
      </c>
      <c r="EN209" s="119">
        <f>EN33</f>
        <v>0</v>
      </c>
      <c r="EO209" s="119"/>
      <c r="EP209" s="119"/>
      <c r="EQ209" s="119"/>
      <c r="ER209" s="119"/>
      <c r="ES209" s="119">
        <f>ET209+EU209+EV209</f>
        <v>0</v>
      </c>
      <c r="ET209" s="119">
        <f>ET33</f>
        <v>0</v>
      </c>
      <c r="EU209" s="119">
        <f>EU33</f>
        <v>0</v>
      </c>
      <c r="EV209" s="119">
        <f>EV33</f>
        <v>0</v>
      </c>
      <c r="EW209" s="119"/>
      <c r="EX209" s="119"/>
      <c r="EY209" s="119"/>
      <c r="EZ209" s="119"/>
      <c r="FA209" s="119"/>
      <c r="FB209" s="119"/>
      <c r="FC209" s="118">
        <f>FD209+FE209+FF209</f>
        <v>3150000</v>
      </c>
      <c r="FD209" s="118">
        <f>FD33</f>
        <v>3150000</v>
      </c>
      <c r="FE209" s="118">
        <f>FE33</f>
        <v>0</v>
      </c>
      <c r="FF209" s="118">
        <f>FF33</f>
        <v>0</v>
      </c>
      <c r="FG209" s="118">
        <f>FH209+FI209+FJ209</f>
        <v>-100000</v>
      </c>
      <c r="FH209" s="118">
        <f>FH33</f>
        <v>-100000</v>
      </c>
      <c r="FI209" s="118">
        <f>FI33</f>
        <v>0</v>
      </c>
      <c r="FJ209" s="118">
        <f>FJ33</f>
        <v>0</v>
      </c>
      <c r="FK209" s="118"/>
      <c r="FL209" s="118"/>
      <c r="FM209" s="118"/>
      <c r="FN209" s="118"/>
      <c r="FO209" s="118">
        <f>FP209+FQ209+FR209</f>
        <v>2350000</v>
      </c>
      <c r="FP209" s="118">
        <f>FP33</f>
        <v>2350000</v>
      </c>
      <c r="FQ209" s="118">
        <f>FQ33</f>
        <v>0</v>
      </c>
      <c r="FR209" s="118">
        <f>FR33</f>
        <v>0</v>
      </c>
      <c r="FS209" s="74">
        <f t="shared" si="338"/>
        <v>2195957.3316500001</v>
      </c>
      <c r="FT209" s="487">
        <f t="shared" si="355"/>
        <v>0.69712931163492065</v>
      </c>
      <c r="FU209" s="118">
        <f>FU33</f>
        <v>2195957.3316500001</v>
      </c>
      <c r="FV209" s="487">
        <f t="shared" si="356"/>
        <v>0.69712931163492065</v>
      </c>
      <c r="FW209" s="119">
        <f>FW33</f>
        <v>0</v>
      </c>
      <c r="FX209" s="662">
        <v>0</v>
      </c>
      <c r="FY209" s="118">
        <f>FY33</f>
        <v>0</v>
      </c>
      <c r="FZ209" s="487">
        <v>0</v>
      </c>
      <c r="GA209" s="118">
        <f t="shared" si="361"/>
        <v>1985743.7139099999</v>
      </c>
      <c r="GB209" s="487">
        <f t="shared" si="362"/>
        <v>0.63039482981269834</v>
      </c>
      <c r="GC209" s="118">
        <f>GC33</f>
        <v>1985743.7139099999</v>
      </c>
      <c r="GD209" s="487">
        <f t="shared" si="376"/>
        <v>0.63039482981269834</v>
      </c>
      <c r="GE209" s="119">
        <f>GE33</f>
        <v>0</v>
      </c>
      <c r="GF209" s="513"/>
      <c r="GG209" s="119">
        <f>GG33</f>
        <v>0</v>
      </c>
      <c r="GH209" s="487">
        <v>0</v>
      </c>
      <c r="GI209" s="118">
        <f t="shared" si="365"/>
        <v>2760500</v>
      </c>
      <c r="GJ209" s="487">
        <f t="shared" si="366"/>
        <v>0.87634920634920632</v>
      </c>
      <c r="GK209" s="118">
        <f>GK33</f>
        <v>2760500</v>
      </c>
      <c r="GL209" s="487">
        <f t="shared" si="368"/>
        <v>0.87634920634920632</v>
      </c>
      <c r="GM209" s="118">
        <f>GM33</f>
        <v>0</v>
      </c>
      <c r="GN209" s="487">
        <v>0</v>
      </c>
      <c r="GO209" s="118">
        <f>GO33</f>
        <v>0</v>
      </c>
      <c r="GP209" s="487">
        <v>0</v>
      </c>
      <c r="GQ209" s="119"/>
      <c r="GR209" s="119"/>
      <c r="GS209" s="119"/>
      <c r="GT209" s="119"/>
      <c r="GU209" s="119">
        <f>GV209+GW209+GX209</f>
        <v>2700000</v>
      </c>
      <c r="GV209" s="119">
        <f>GV33</f>
        <v>2700000</v>
      </c>
      <c r="GW209" s="119">
        <f>GW33</f>
        <v>0</v>
      </c>
      <c r="GX209" s="119">
        <f>GX33</f>
        <v>0</v>
      </c>
      <c r="GY209" s="119"/>
      <c r="GZ209" s="119"/>
      <c r="HA209" s="119"/>
      <c r="HB209" s="119"/>
      <c r="HC209" s="119"/>
      <c r="HD209" s="119"/>
      <c r="HE209" s="119"/>
      <c r="HF209" s="119"/>
      <c r="HG209" s="119">
        <f>HH209+HI209+HJ209</f>
        <v>-983000</v>
      </c>
      <c r="HH209" s="119">
        <f>HH33</f>
        <v>-983000</v>
      </c>
      <c r="HI209" s="119">
        <f>HI33</f>
        <v>0</v>
      </c>
      <c r="HJ209" s="119">
        <f>HJ33</f>
        <v>0</v>
      </c>
      <c r="HK209" s="119">
        <v>0</v>
      </c>
      <c r="HL209" s="119">
        <v>0</v>
      </c>
      <c r="HM209" s="119">
        <v>0</v>
      </c>
      <c r="HN209" s="119">
        <v>0</v>
      </c>
      <c r="HO209" s="119">
        <f>HP209+HQ209+HR209</f>
        <v>1717000</v>
      </c>
      <c r="HP209" s="119">
        <f>HP33</f>
        <v>1717000</v>
      </c>
      <c r="HQ209" s="119">
        <f>HQ33</f>
        <v>0</v>
      </c>
      <c r="HR209" s="119">
        <f>HR33</f>
        <v>0</v>
      </c>
      <c r="HS209" s="119">
        <f>HT209+HU209+HV209</f>
        <v>0</v>
      </c>
      <c r="HT209" s="119">
        <f>HT33</f>
        <v>0</v>
      </c>
      <c r="HU209" s="119">
        <f>HU33</f>
        <v>0</v>
      </c>
      <c r="HV209" s="119">
        <f>HV33</f>
        <v>0</v>
      </c>
      <c r="HW209" s="272">
        <f>HX209+HY209+HZ209</f>
        <v>2152470</v>
      </c>
      <c r="HX209" s="119">
        <f>HX33</f>
        <v>2152470</v>
      </c>
      <c r="HY209" s="119">
        <f>HY33</f>
        <v>0</v>
      </c>
      <c r="HZ209" s="119">
        <f>HZ33</f>
        <v>0</v>
      </c>
      <c r="IA209" s="119">
        <f>IB209+IC209+ID209</f>
        <v>2152470</v>
      </c>
      <c r="IB209" s="119">
        <f>IB33</f>
        <v>2152470</v>
      </c>
      <c r="IC209" s="119">
        <f>IC33</f>
        <v>0</v>
      </c>
      <c r="ID209" s="119">
        <f>ID33</f>
        <v>0</v>
      </c>
      <c r="IE209" s="125"/>
      <c r="IF209" s="126"/>
      <c r="IG209" s="126"/>
      <c r="IH209" s="126"/>
    </row>
    <row r="210" spans="1:249" s="536" customFormat="1" ht="66.75" hidden="1" customHeight="1" x14ac:dyDescent="0.25">
      <c r="B210" s="537"/>
      <c r="C210" s="740" t="s">
        <v>477</v>
      </c>
      <c r="D210" s="741"/>
      <c r="E210" s="538"/>
      <c r="F210" s="538"/>
      <c r="G210" s="538"/>
      <c r="H210" s="538"/>
      <c r="I210" s="538"/>
      <c r="J210" s="538"/>
      <c r="K210" s="538"/>
      <c r="L210" s="538"/>
      <c r="M210" s="538"/>
      <c r="N210" s="538"/>
      <c r="O210" s="538"/>
      <c r="P210" s="538"/>
      <c r="Q210" s="539"/>
      <c r="R210" s="539"/>
      <c r="S210" s="539"/>
      <c r="T210" s="539"/>
      <c r="U210" s="539"/>
      <c r="V210" s="539"/>
      <c r="W210" s="539"/>
      <c r="X210" s="539"/>
      <c r="Y210" s="539"/>
      <c r="Z210" s="539"/>
      <c r="AA210" s="539"/>
      <c r="AB210" s="539"/>
      <c r="AC210" s="539"/>
      <c r="AD210" s="539"/>
      <c r="AE210" s="539"/>
      <c r="AF210" s="539"/>
      <c r="AG210" s="539"/>
      <c r="AH210" s="539"/>
      <c r="AI210" s="540"/>
      <c r="AJ210" s="539"/>
      <c r="AK210" s="539"/>
      <c r="AL210" s="539"/>
      <c r="AM210" s="541"/>
      <c r="AN210" s="539"/>
      <c r="AO210" s="542"/>
      <c r="AP210" s="539"/>
      <c r="AQ210" s="539"/>
      <c r="AR210" s="539"/>
      <c r="AS210" s="539"/>
      <c r="AT210" s="539"/>
      <c r="AU210" s="539"/>
      <c r="AV210" s="539"/>
      <c r="AW210" s="539"/>
      <c r="AX210" s="539"/>
      <c r="AY210" s="539"/>
      <c r="AZ210" s="539"/>
      <c r="BA210" s="539"/>
      <c r="BB210" s="539"/>
      <c r="BC210" s="539"/>
      <c r="BD210" s="539"/>
      <c r="BE210" s="539"/>
      <c r="BF210" s="539"/>
      <c r="BG210" s="539"/>
      <c r="BH210" s="539"/>
      <c r="BI210" s="539"/>
      <c r="BJ210" s="539"/>
      <c r="BK210" s="543"/>
      <c r="BL210" s="544"/>
      <c r="BM210" s="544"/>
      <c r="BN210" s="544"/>
      <c r="BO210" s="544"/>
      <c r="BP210" s="544"/>
      <c r="BQ210" s="544"/>
      <c r="BR210" s="544"/>
      <c r="BS210" s="544"/>
      <c r="BT210" s="544"/>
      <c r="BU210" s="544"/>
      <c r="BV210" s="539"/>
      <c r="BW210" s="539"/>
      <c r="BX210" s="539"/>
      <c r="BY210" s="539"/>
      <c r="BZ210" s="539"/>
      <c r="CA210" s="539"/>
      <c r="CB210" s="539"/>
      <c r="CC210" s="539"/>
      <c r="CD210" s="539"/>
      <c r="CE210" s="544"/>
      <c r="CF210" s="544"/>
      <c r="CG210" s="539"/>
      <c r="CH210" s="539"/>
      <c r="CI210" s="539"/>
      <c r="CJ210" s="539"/>
      <c r="CK210" s="539"/>
      <c r="CL210" s="539"/>
      <c r="CM210" s="539"/>
      <c r="CN210" s="539"/>
      <c r="CO210" s="539"/>
      <c r="CP210" s="539"/>
      <c r="CQ210" s="539"/>
      <c r="CR210" s="539"/>
      <c r="CS210" s="539"/>
      <c r="CT210" s="539"/>
      <c r="CU210" s="539"/>
      <c r="CV210" s="539"/>
      <c r="CW210" s="539"/>
      <c r="CX210" s="539"/>
      <c r="CY210" s="539"/>
      <c r="CZ210" s="539"/>
      <c r="DA210" s="539"/>
      <c r="DB210" s="539"/>
      <c r="DC210" s="539"/>
      <c r="DD210" s="539"/>
      <c r="DE210" s="539"/>
      <c r="DF210" s="539"/>
      <c r="DG210" s="539"/>
      <c r="DH210" s="539"/>
      <c r="DI210" s="539"/>
      <c r="DJ210" s="539"/>
      <c r="DK210" s="539"/>
      <c r="DL210" s="539"/>
      <c r="DM210" s="539"/>
      <c r="DN210" s="539"/>
      <c r="DO210" s="539"/>
      <c r="DP210" s="539"/>
      <c r="DQ210" s="539"/>
      <c r="DR210" s="539"/>
      <c r="DS210" s="539"/>
      <c r="DT210" s="539"/>
      <c r="DU210" s="539"/>
      <c r="DV210" s="539"/>
      <c r="DW210" s="539"/>
      <c r="DX210" s="539"/>
      <c r="DY210" s="539"/>
      <c r="DZ210" s="539"/>
      <c r="EA210" s="539"/>
      <c r="EB210" s="539"/>
      <c r="EC210" s="539"/>
      <c r="ED210" s="539"/>
      <c r="EE210" s="539"/>
      <c r="EF210" s="539"/>
      <c r="EG210" s="539"/>
      <c r="EH210" s="539"/>
      <c r="EI210" s="539"/>
      <c r="EJ210" s="539"/>
      <c r="EK210" s="539"/>
      <c r="EL210" s="539"/>
      <c r="EM210" s="539"/>
      <c r="EN210" s="539"/>
      <c r="EO210" s="539"/>
      <c r="EP210" s="539"/>
      <c r="EQ210" s="539"/>
      <c r="ER210" s="539"/>
      <c r="ES210" s="539"/>
      <c r="ET210" s="539"/>
      <c r="EU210" s="539"/>
      <c r="EV210" s="539"/>
      <c r="EW210" s="539"/>
      <c r="EX210" s="539"/>
      <c r="EY210" s="539"/>
      <c r="EZ210" s="539"/>
      <c r="FA210" s="539"/>
      <c r="FB210" s="539"/>
      <c r="FC210" s="538">
        <f>FD210</f>
        <v>0</v>
      </c>
      <c r="FD210" s="538">
        <f>FD34</f>
        <v>0</v>
      </c>
      <c r="FE210" s="538"/>
      <c r="FF210" s="538"/>
      <c r="FG210" s="538"/>
      <c r="FH210" s="538"/>
      <c r="FI210" s="538"/>
      <c r="FJ210" s="538"/>
      <c r="FK210" s="538"/>
      <c r="FL210" s="538"/>
      <c r="FM210" s="538"/>
      <c r="FN210" s="538"/>
      <c r="FO210" s="538"/>
      <c r="FP210" s="538"/>
      <c r="FQ210" s="538"/>
      <c r="FR210" s="538"/>
      <c r="FS210" s="530">
        <f>FU210</f>
        <v>261667.67939999999</v>
      </c>
      <c r="FT210" s="531">
        <v>0</v>
      </c>
      <c r="FU210" s="538">
        <f>FU34</f>
        <v>261667.67939999999</v>
      </c>
      <c r="FV210" s="531">
        <v>0</v>
      </c>
      <c r="FW210" s="539"/>
      <c r="FX210" s="663"/>
      <c r="FY210" s="538"/>
      <c r="FZ210" s="531"/>
      <c r="GA210" s="538">
        <f>GC210</f>
        <v>0</v>
      </c>
      <c r="GB210" s="531">
        <v>0</v>
      </c>
      <c r="GC210" s="538">
        <f>GC34</f>
        <v>0</v>
      </c>
      <c r="GD210" s="531"/>
      <c r="GE210" s="539"/>
      <c r="GF210" s="532"/>
      <c r="GG210" s="539"/>
      <c r="GH210" s="531"/>
      <c r="GI210" s="538">
        <v>0</v>
      </c>
      <c r="GJ210" s="531">
        <v>0</v>
      </c>
      <c r="GK210" s="538">
        <f>GK34</f>
        <v>0</v>
      </c>
      <c r="GL210" s="531"/>
      <c r="GM210" s="538"/>
      <c r="GN210" s="531"/>
      <c r="GO210" s="538"/>
      <c r="GP210" s="531"/>
      <c r="GQ210" s="539"/>
      <c r="GR210" s="539"/>
      <c r="GS210" s="539"/>
      <c r="GT210" s="539"/>
      <c r="GU210" s="539"/>
      <c r="GV210" s="539"/>
      <c r="GW210" s="539"/>
      <c r="GX210" s="539"/>
      <c r="GY210" s="539"/>
      <c r="GZ210" s="539"/>
      <c r="HA210" s="539"/>
      <c r="HB210" s="539"/>
      <c r="HC210" s="539"/>
      <c r="HD210" s="539"/>
      <c r="HE210" s="539"/>
      <c r="HF210" s="539"/>
      <c r="HG210" s="539"/>
      <c r="HH210" s="539"/>
      <c r="HI210" s="539"/>
      <c r="HJ210" s="539"/>
      <c r="HK210" s="539"/>
      <c r="HL210" s="539"/>
      <c r="HM210" s="539"/>
      <c r="HN210" s="539"/>
      <c r="HO210" s="539"/>
      <c r="HP210" s="539"/>
      <c r="HQ210" s="539"/>
      <c r="HR210" s="539"/>
      <c r="HS210" s="539"/>
      <c r="HT210" s="539"/>
      <c r="HU210" s="539"/>
      <c r="HV210" s="539"/>
      <c r="HW210" s="572"/>
      <c r="HX210" s="539"/>
      <c r="HY210" s="539"/>
      <c r="HZ210" s="539"/>
      <c r="IA210" s="539"/>
      <c r="IB210" s="539"/>
      <c r="IC210" s="539"/>
      <c r="ID210" s="539"/>
      <c r="IE210" s="545"/>
      <c r="IF210" s="546"/>
      <c r="IG210" s="546"/>
      <c r="IH210" s="546"/>
    </row>
    <row r="211" spans="1:249" s="233" customFormat="1" ht="45.75" customHeight="1" x14ac:dyDescent="0.25">
      <c r="A211" s="233" t="s">
        <v>305</v>
      </c>
      <c r="B211" s="736" t="s">
        <v>490</v>
      </c>
      <c r="C211" s="737"/>
      <c r="D211" s="77"/>
      <c r="E211" s="78" t="e">
        <f>E51+#REF!</f>
        <v>#REF!</v>
      </c>
      <c r="F211" s="78"/>
      <c r="G211" s="78" t="e">
        <f>G51+#REF!</f>
        <v>#REF!</v>
      </c>
      <c r="H211" s="78" t="e">
        <f>H51+#REF!</f>
        <v>#REF!</v>
      </c>
      <c r="I211" s="78"/>
      <c r="J211" s="78" t="e">
        <f>J51+#REF!</f>
        <v>#REF!</v>
      </c>
      <c r="K211" s="78" t="e">
        <f>K51+#REF!</f>
        <v>#REF!</v>
      </c>
      <c r="L211" s="78"/>
      <c r="M211" s="78" t="e">
        <f>M51+#REF!</f>
        <v>#REF!</v>
      </c>
      <c r="N211" s="78" t="e">
        <f>N51+#REF!</f>
        <v>#REF!</v>
      </c>
      <c r="O211" s="78"/>
      <c r="P211" s="78" t="e">
        <f>P51+#REF!</f>
        <v>#REF!</v>
      </c>
      <c r="Q211" s="77" t="e">
        <f>Q51+#REF!</f>
        <v>#REF!</v>
      </c>
      <c r="R211" s="78"/>
      <c r="S211" s="78" t="e">
        <f>S51+#REF!</f>
        <v>#REF!</v>
      </c>
      <c r="T211" s="77" t="e">
        <f>T51+#REF!</f>
        <v>#REF!</v>
      </c>
      <c r="U211" s="77" t="e">
        <f>U51+#REF!</f>
        <v>#REF!</v>
      </c>
      <c r="V211" s="77" t="e">
        <f>V51+#REF!</f>
        <v>#REF!</v>
      </c>
      <c r="W211" s="77" t="e">
        <f>W51+#REF!</f>
        <v>#REF!</v>
      </c>
      <c r="X211" s="77" t="e">
        <f>X51+#REF!</f>
        <v>#REF!</v>
      </c>
      <c r="Y211" s="77" t="e">
        <f>Y51+#REF!</f>
        <v>#REF!</v>
      </c>
      <c r="Z211" s="79">
        <f t="shared" ref="Z211:AN211" si="454">Z137</f>
        <v>172677.7</v>
      </c>
      <c r="AA211" s="79">
        <f t="shared" si="454"/>
        <v>0</v>
      </c>
      <c r="AB211" s="79">
        <f t="shared" si="454"/>
        <v>172677.7</v>
      </c>
      <c r="AC211" s="79">
        <f t="shared" si="454"/>
        <v>0</v>
      </c>
      <c r="AD211" s="79">
        <f t="shared" si="454"/>
        <v>0</v>
      </c>
      <c r="AE211" s="79">
        <f t="shared" si="454"/>
        <v>0</v>
      </c>
      <c r="AF211" s="79" t="e">
        <f t="shared" si="454"/>
        <v>#REF!</v>
      </c>
      <c r="AG211" s="79">
        <f t="shared" si="454"/>
        <v>0</v>
      </c>
      <c r="AH211" s="79" t="e">
        <f t="shared" si="454"/>
        <v>#REF!</v>
      </c>
      <c r="AI211" s="79">
        <f t="shared" si="454"/>
        <v>0</v>
      </c>
      <c r="AJ211" s="79">
        <f t="shared" si="454"/>
        <v>0</v>
      </c>
      <c r="AK211" s="79">
        <f t="shared" si="454"/>
        <v>172677.7</v>
      </c>
      <c r="AL211" s="79" t="e">
        <f t="shared" si="454"/>
        <v>#REF!</v>
      </c>
      <c r="AM211" s="79" t="str">
        <f t="shared" si="454"/>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v>
      </c>
      <c r="AN211" s="79" t="str">
        <f t="shared" si="454"/>
        <v xml:space="preserve">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 </v>
      </c>
      <c r="AO211" s="80">
        <v>1</v>
      </c>
      <c r="AP211" s="79">
        <f t="shared" ref="AP211:BA211" si="455">AP137</f>
        <v>0</v>
      </c>
      <c r="AQ211" s="79">
        <f t="shared" si="455"/>
        <v>0</v>
      </c>
      <c r="AR211" s="79" t="e">
        <f t="shared" si="455"/>
        <v>#REF!</v>
      </c>
      <c r="AS211" s="79">
        <f t="shared" si="455"/>
        <v>100000</v>
      </c>
      <c r="AT211" s="79">
        <f t="shared" si="455"/>
        <v>0</v>
      </c>
      <c r="AU211" s="79">
        <f t="shared" si="455"/>
        <v>100000</v>
      </c>
      <c r="AV211" s="79">
        <f t="shared" si="455"/>
        <v>0</v>
      </c>
      <c r="AW211" s="79">
        <f t="shared" si="455"/>
        <v>0</v>
      </c>
      <c r="AX211" s="79">
        <f t="shared" si="455"/>
        <v>0</v>
      </c>
      <c r="AY211" s="79">
        <f t="shared" si="455"/>
        <v>100000</v>
      </c>
      <c r="AZ211" s="79">
        <f t="shared" si="455"/>
        <v>0</v>
      </c>
      <c r="BA211" s="79">
        <f t="shared" si="455"/>
        <v>100000</v>
      </c>
      <c r="BB211" s="79" t="e">
        <f>BB51+#REF!</f>
        <v>#REF!</v>
      </c>
      <c r="BC211" s="79"/>
      <c r="BD211" s="79" t="e">
        <f>BD51+#REF!</f>
        <v>#REF!</v>
      </c>
      <c r="BE211" s="79" t="e">
        <f>BE51+#REF!</f>
        <v>#REF!</v>
      </c>
      <c r="BF211" s="79"/>
      <c r="BG211" s="79" t="e">
        <f>BG51+#REF!</f>
        <v>#REF!</v>
      </c>
      <c r="BH211" s="79">
        <f>BH137</f>
        <v>254943.94699999999</v>
      </c>
      <c r="BI211" s="79">
        <f>BI137</f>
        <v>0</v>
      </c>
      <c r="BJ211" s="79">
        <f>BJ137</f>
        <v>254943.94699999999</v>
      </c>
      <c r="BK211" s="81">
        <v>1</v>
      </c>
      <c r="BL211" s="79">
        <f t="shared" ref="BL211:CQ211" si="456">BL137</f>
        <v>100000</v>
      </c>
      <c r="BM211" s="79">
        <f t="shared" si="456"/>
        <v>0</v>
      </c>
      <c r="BN211" s="79">
        <f t="shared" si="456"/>
        <v>0</v>
      </c>
      <c r="BO211" s="79">
        <f t="shared" si="456"/>
        <v>0</v>
      </c>
      <c r="BP211" s="79">
        <f t="shared" si="456"/>
        <v>0</v>
      </c>
      <c r="BQ211" s="79">
        <f t="shared" si="456"/>
        <v>0</v>
      </c>
      <c r="BR211" s="79">
        <f t="shared" si="456"/>
        <v>0</v>
      </c>
      <c r="BS211" s="79">
        <f t="shared" si="456"/>
        <v>254943.94699999999</v>
      </c>
      <c r="BT211" s="79">
        <f t="shared" si="456"/>
        <v>0</v>
      </c>
      <c r="BU211" s="79">
        <f t="shared" si="456"/>
        <v>254943.94699999999</v>
      </c>
      <c r="BV211" s="79">
        <f t="shared" si="456"/>
        <v>100000</v>
      </c>
      <c r="BW211" s="79">
        <f t="shared" si="456"/>
        <v>0</v>
      </c>
      <c r="BX211" s="79">
        <f t="shared" si="456"/>
        <v>100000</v>
      </c>
      <c r="BY211" s="79">
        <f t="shared" si="456"/>
        <v>54591.253000000026</v>
      </c>
      <c r="BZ211" s="79">
        <f t="shared" si="456"/>
        <v>0</v>
      </c>
      <c r="CA211" s="79">
        <f t="shared" si="456"/>
        <v>54591.253000000026</v>
      </c>
      <c r="CB211" s="79">
        <f t="shared" si="456"/>
        <v>309535.2</v>
      </c>
      <c r="CC211" s="79">
        <f t="shared" si="456"/>
        <v>0</v>
      </c>
      <c r="CD211" s="79">
        <f t="shared" si="456"/>
        <v>309535.2</v>
      </c>
      <c r="CE211" s="79" t="e">
        <f t="shared" si="456"/>
        <v>#REF!</v>
      </c>
      <c r="CF211" s="79" t="e">
        <f t="shared" si="456"/>
        <v>#REF!</v>
      </c>
      <c r="CG211" s="79" t="e">
        <f t="shared" si="456"/>
        <v>#REF!</v>
      </c>
      <c r="CH211" s="79" t="e">
        <f t="shared" si="456"/>
        <v>#REF!</v>
      </c>
      <c r="CI211" s="79" t="e">
        <f t="shared" si="456"/>
        <v>#REF!</v>
      </c>
      <c r="CJ211" s="79" t="e">
        <f t="shared" si="456"/>
        <v>#REF!</v>
      </c>
      <c r="CK211" s="79" t="e">
        <f t="shared" si="456"/>
        <v>#REF!</v>
      </c>
      <c r="CL211" s="79" t="e">
        <f t="shared" si="456"/>
        <v>#REF!</v>
      </c>
      <c r="CM211" s="79" t="e">
        <f t="shared" si="456"/>
        <v>#REF!</v>
      </c>
      <c r="CN211" s="79" t="e">
        <f t="shared" si="456"/>
        <v>#REF!</v>
      </c>
      <c r="CO211" s="79" t="e">
        <f t="shared" si="456"/>
        <v>#REF!</v>
      </c>
      <c r="CP211" s="79" t="e">
        <f t="shared" si="456"/>
        <v>#REF!</v>
      </c>
      <c r="CQ211" s="79" t="e">
        <f t="shared" si="456"/>
        <v>#REF!</v>
      </c>
      <c r="CR211" s="79" t="e">
        <f t="shared" ref="CR211:DW211" si="457">CR137</f>
        <v>#REF!</v>
      </c>
      <c r="CS211" s="79" t="e">
        <f t="shared" si="457"/>
        <v>#REF!</v>
      </c>
      <c r="CT211" s="79">
        <f t="shared" si="457"/>
        <v>45878.74</v>
      </c>
      <c r="CU211" s="79">
        <f t="shared" si="457"/>
        <v>0</v>
      </c>
      <c r="CV211" s="79">
        <f t="shared" si="457"/>
        <v>45878.74</v>
      </c>
      <c r="CW211" s="82">
        <f t="shared" si="457"/>
        <v>182776.424</v>
      </c>
      <c r="CX211" s="82">
        <f t="shared" si="457"/>
        <v>0</v>
      </c>
      <c r="CY211" s="82">
        <f t="shared" si="457"/>
        <v>182776.424</v>
      </c>
      <c r="CZ211" s="82">
        <f t="shared" si="457"/>
        <v>184000</v>
      </c>
      <c r="DA211" s="82">
        <f t="shared" si="457"/>
        <v>0</v>
      </c>
      <c r="DB211" s="82">
        <f t="shared" si="457"/>
        <v>184000</v>
      </c>
      <c r="DC211" s="82">
        <f t="shared" si="457"/>
        <v>0</v>
      </c>
      <c r="DD211" s="82">
        <f t="shared" si="457"/>
        <v>0</v>
      </c>
      <c r="DE211" s="82">
        <f t="shared" si="457"/>
        <v>0</v>
      </c>
      <c r="DF211" s="82">
        <f t="shared" si="457"/>
        <v>0</v>
      </c>
      <c r="DG211" s="82">
        <f t="shared" si="457"/>
        <v>0</v>
      </c>
      <c r="DH211" s="82">
        <f t="shared" si="457"/>
        <v>0</v>
      </c>
      <c r="DI211" s="82">
        <f t="shared" si="457"/>
        <v>182776.424</v>
      </c>
      <c r="DJ211" s="82">
        <f t="shared" si="457"/>
        <v>0</v>
      </c>
      <c r="DK211" s="82">
        <f t="shared" si="457"/>
        <v>182776.424</v>
      </c>
      <c r="DL211" s="82">
        <f t="shared" si="457"/>
        <v>80543.645000000004</v>
      </c>
      <c r="DM211" s="82">
        <f t="shared" si="457"/>
        <v>0</v>
      </c>
      <c r="DN211" s="82">
        <f t="shared" si="457"/>
        <v>80543.645000000004</v>
      </c>
      <c r="DO211" s="82">
        <f t="shared" si="457"/>
        <v>0</v>
      </c>
      <c r="DP211" s="82">
        <f t="shared" si="457"/>
        <v>0</v>
      </c>
      <c r="DQ211" s="82">
        <f t="shared" si="457"/>
        <v>0</v>
      </c>
      <c r="DR211" s="82">
        <f t="shared" si="457"/>
        <v>96686.478999999992</v>
      </c>
      <c r="DS211" s="82">
        <f t="shared" si="457"/>
        <v>0</v>
      </c>
      <c r="DT211" s="82">
        <f t="shared" si="457"/>
        <v>96686.478999999992</v>
      </c>
      <c r="DU211" s="82">
        <f t="shared" si="457"/>
        <v>184000</v>
      </c>
      <c r="DV211" s="82">
        <f t="shared" si="457"/>
        <v>0</v>
      </c>
      <c r="DW211" s="82">
        <f t="shared" si="457"/>
        <v>184000</v>
      </c>
      <c r="DX211" s="82">
        <f t="shared" ref="DX211:FC211" si="458">DX137</f>
        <v>110250</v>
      </c>
      <c r="DY211" s="82">
        <f t="shared" si="458"/>
        <v>0</v>
      </c>
      <c r="DZ211" s="82">
        <f t="shared" si="458"/>
        <v>110250</v>
      </c>
      <c r="EA211" s="82">
        <f t="shared" si="458"/>
        <v>0</v>
      </c>
      <c r="EB211" s="82">
        <f t="shared" si="458"/>
        <v>0</v>
      </c>
      <c r="EC211" s="82">
        <f t="shared" si="458"/>
        <v>0</v>
      </c>
      <c r="ED211" s="82">
        <f t="shared" si="458"/>
        <v>-126486.06200000001</v>
      </c>
      <c r="EE211" s="82">
        <f t="shared" si="458"/>
        <v>0</v>
      </c>
      <c r="EF211" s="82">
        <f t="shared" si="458"/>
        <v>-126486.06200000001</v>
      </c>
      <c r="EG211" s="82">
        <f t="shared" si="458"/>
        <v>259055.38800000004</v>
      </c>
      <c r="EH211" s="82">
        <f t="shared" si="458"/>
        <v>0</v>
      </c>
      <c r="EI211" s="82">
        <f t="shared" si="458"/>
        <v>0</v>
      </c>
      <c r="EJ211" s="82">
        <f t="shared" si="458"/>
        <v>259055.38800000004</v>
      </c>
      <c r="EK211" s="82">
        <f t="shared" si="458"/>
        <v>0</v>
      </c>
      <c r="EL211" s="82">
        <f t="shared" si="458"/>
        <v>0</v>
      </c>
      <c r="EM211" s="82">
        <f t="shared" si="458"/>
        <v>0</v>
      </c>
      <c r="EN211" s="82">
        <f t="shared" si="458"/>
        <v>0</v>
      </c>
      <c r="EO211" s="82" t="e">
        <f t="shared" si="458"/>
        <v>#REF!</v>
      </c>
      <c r="EP211" s="82">
        <f t="shared" si="458"/>
        <v>0</v>
      </c>
      <c r="EQ211" s="82">
        <f t="shared" si="458"/>
        <v>0</v>
      </c>
      <c r="ER211" s="82" t="e">
        <f t="shared" si="458"/>
        <v>#REF!</v>
      </c>
      <c r="ES211" s="82">
        <f t="shared" si="458"/>
        <v>-10112.633</v>
      </c>
      <c r="ET211" s="82">
        <f t="shared" si="458"/>
        <v>0</v>
      </c>
      <c r="EU211" s="82">
        <f t="shared" si="458"/>
        <v>0</v>
      </c>
      <c r="EV211" s="82">
        <f t="shared" si="458"/>
        <v>-10112.633</v>
      </c>
      <c r="EW211" s="82">
        <f t="shared" si="458"/>
        <v>110250</v>
      </c>
      <c r="EX211" s="82">
        <f t="shared" si="458"/>
        <v>0</v>
      </c>
      <c r="EY211" s="82">
        <f t="shared" si="458"/>
        <v>110250</v>
      </c>
      <c r="EZ211" s="82">
        <f t="shared" si="458"/>
        <v>0</v>
      </c>
      <c r="FA211" s="82">
        <f t="shared" si="458"/>
        <v>0</v>
      </c>
      <c r="FB211" s="82">
        <f t="shared" si="458"/>
        <v>0</v>
      </c>
      <c r="FC211" s="83">
        <f t="shared" si="458"/>
        <v>316666.93717999995</v>
      </c>
      <c r="FD211" s="83">
        <f t="shared" ref="FD211:FR211" si="459">FD137</f>
        <v>0</v>
      </c>
      <c r="FE211" s="83">
        <f t="shared" si="459"/>
        <v>0</v>
      </c>
      <c r="FF211" s="83">
        <f t="shared" si="459"/>
        <v>316666.93717999995</v>
      </c>
      <c r="FG211" s="83">
        <f t="shared" si="459"/>
        <v>64356.747620000002</v>
      </c>
      <c r="FH211" s="83">
        <f t="shared" si="459"/>
        <v>0</v>
      </c>
      <c r="FI211" s="83">
        <f t="shared" si="459"/>
        <v>0</v>
      </c>
      <c r="FJ211" s="83">
        <f t="shared" si="459"/>
        <v>64356.747620000002</v>
      </c>
      <c r="FK211" s="83">
        <f t="shared" si="459"/>
        <v>-40826.822620000006</v>
      </c>
      <c r="FL211" s="83">
        <f t="shared" si="459"/>
        <v>0</v>
      </c>
      <c r="FM211" s="83">
        <f t="shared" si="459"/>
        <v>0</v>
      </c>
      <c r="FN211" s="83">
        <f t="shared" si="459"/>
        <v>-40826.822620000006</v>
      </c>
      <c r="FO211" s="83">
        <f t="shared" si="459"/>
        <v>310317.79716000002</v>
      </c>
      <c r="FP211" s="83">
        <f t="shared" si="459"/>
        <v>0</v>
      </c>
      <c r="FQ211" s="83">
        <f t="shared" si="459"/>
        <v>0</v>
      </c>
      <c r="FR211" s="83">
        <f t="shared" si="459"/>
        <v>310317.79716000002</v>
      </c>
      <c r="FS211" s="83">
        <f>FU211+FW211+FY211</f>
        <v>46094.921329999997</v>
      </c>
      <c r="FT211" s="488">
        <f t="shared" si="355"/>
        <v>0.14556278511576567</v>
      </c>
      <c r="FU211" s="83">
        <f>FU137</f>
        <v>0</v>
      </c>
      <c r="FV211" s="488">
        <v>0</v>
      </c>
      <c r="FW211" s="82">
        <f>FW137</f>
        <v>0</v>
      </c>
      <c r="FX211" s="664">
        <v>0</v>
      </c>
      <c r="FY211" s="83">
        <f>FY137</f>
        <v>46094.921329999997</v>
      </c>
      <c r="FZ211" s="488">
        <f t="shared" si="360"/>
        <v>0.14556278511576567</v>
      </c>
      <c r="GA211" s="83">
        <f t="shared" si="361"/>
        <v>46094.921329999997</v>
      </c>
      <c r="GB211" s="488">
        <f t="shared" si="362"/>
        <v>0.14556278511576567</v>
      </c>
      <c r="GC211" s="83">
        <f>GC137</f>
        <v>0</v>
      </c>
      <c r="GD211" s="488">
        <v>0</v>
      </c>
      <c r="GE211" s="82">
        <f>GE137</f>
        <v>0</v>
      </c>
      <c r="GF211" s="573"/>
      <c r="GG211" s="83">
        <f>GG137</f>
        <v>46094.921329999997</v>
      </c>
      <c r="GH211" s="488">
        <f t="shared" si="364"/>
        <v>0.14556278511576567</v>
      </c>
      <c r="GI211" s="83">
        <f t="shared" si="365"/>
        <v>315896.63902</v>
      </c>
      <c r="GJ211" s="488">
        <f t="shared" si="366"/>
        <v>0.99756748157272224</v>
      </c>
      <c r="GK211" s="83">
        <f>GK137</f>
        <v>0</v>
      </c>
      <c r="GL211" s="488">
        <v>0</v>
      </c>
      <c r="GM211" s="83">
        <f>GM137</f>
        <v>0</v>
      </c>
      <c r="GN211" s="488">
        <v>0</v>
      </c>
      <c r="GO211" s="83">
        <f>GO137</f>
        <v>315896.63902</v>
      </c>
      <c r="GP211" s="488">
        <f>GO211/FF211</f>
        <v>0.99756748157272224</v>
      </c>
      <c r="GQ211" s="82"/>
      <c r="GR211" s="82"/>
      <c r="GS211" s="82"/>
      <c r="GT211" s="82"/>
      <c r="GU211" s="82">
        <f>GU137</f>
        <v>332288.34700000001</v>
      </c>
      <c r="GV211" s="82">
        <f>GV137</f>
        <v>0</v>
      </c>
      <c r="GW211" s="82">
        <f>GW137</f>
        <v>0</v>
      </c>
      <c r="GX211" s="82">
        <f>GX137</f>
        <v>332288.34700000001</v>
      </c>
      <c r="GY211" s="82"/>
      <c r="GZ211" s="82"/>
      <c r="HA211" s="82"/>
      <c r="HB211" s="82"/>
      <c r="HC211" s="82"/>
      <c r="HD211" s="82"/>
      <c r="HE211" s="82"/>
      <c r="HF211" s="82"/>
      <c r="HG211" s="82">
        <f t="shared" ref="HG211:ID211" si="460">HG137</f>
        <v>77905.531750000009</v>
      </c>
      <c r="HH211" s="82">
        <f t="shared" si="460"/>
        <v>0</v>
      </c>
      <c r="HI211" s="82">
        <f t="shared" si="460"/>
        <v>0</v>
      </c>
      <c r="HJ211" s="82">
        <f t="shared" si="460"/>
        <v>77905.531750000009</v>
      </c>
      <c r="HK211" s="82">
        <f t="shared" si="460"/>
        <v>0</v>
      </c>
      <c r="HL211" s="82">
        <f t="shared" si="460"/>
        <v>0</v>
      </c>
      <c r="HM211" s="82">
        <f t="shared" si="460"/>
        <v>0</v>
      </c>
      <c r="HN211" s="82">
        <f t="shared" si="460"/>
        <v>0</v>
      </c>
      <c r="HO211" s="82">
        <f t="shared" si="460"/>
        <v>410193.87875000003</v>
      </c>
      <c r="HP211" s="82">
        <f t="shared" si="460"/>
        <v>0</v>
      </c>
      <c r="HQ211" s="82">
        <f t="shared" si="460"/>
        <v>0</v>
      </c>
      <c r="HR211" s="82">
        <f t="shared" si="460"/>
        <v>410193.87875000003</v>
      </c>
      <c r="HS211" s="82">
        <f t="shared" si="460"/>
        <v>91993.9</v>
      </c>
      <c r="HT211" s="82">
        <f t="shared" si="460"/>
        <v>0</v>
      </c>
      <c r="HU211" s="82">
        <f t="shared" si="460"/>
        <v>0</v>
      </c>
      <c r="HV211" s="82">
        <f t="shared" si="460"/>
        <v>91993.9</v>
      </c>
      <c r="HW211" s="82">
        <f t="shared" si="460"/>
        <v>59671.516710000004</v>
      </c>
      <c r="HX211" s="82">
        <f t="shared" si="460"/>
        <v>0</v>
      </c>
      <c r="HY211" s="82">
        <f t="shared" si="460"/>
        <v>0</v>
      </c>
      <c r="HZ211" s="82">
        <f t="shared" si="460"/>
        <v>59671.516710000004</v>
      </c>
      <c r="IA211" s="82">
        <f t="shared" si="460"/>
        <v>151665.41670999999</v>
      </c>
      <c r="IB211" s="82">
        <f t="shared" si="460"/>
        <v>0</v>
      </c>
      <c r="IC211" s="82">
        <f t="shared" si="460"/>
        <v>0</v>
      </c>
      <c r="ID211" s="82">
        <f t="shared" si="460"/>
        <v>151665.41670999999</v>
      </c>
      <c r="IE211" s="569"/>
      <c r="IF211" s="234"/>
      <c r="IG211" s="234"/>
      <c r="IH211" s="234"/>
      <c r="II211" s="235"/>
      <c r="IJ211" s="235"/>
      <c r="IK211" s="235"/>
      <c r="IL211" s="235"/>
      <c r="IM211" s="235"/>
      <c r="IN211" s="235"/>
      <c r="IO211" s="235"/>
    </row>
    <row r="212" spans="1:249" s="130" customFormat="1" ht="50.25" customHeight="1" x14ac:dyDescent="0.25">
      <c r="B212" s="742" t="s">
        <v>306</v>
      </c>
      <c r="C212" s="743"/>
      <c r="D212" s="743"/>
      <c r="E212" s="743"/>
      <c r="F212" s="743"/>
      <c r="G212" s="743"/>
      <c r="H212" s="743"/>
      <c r="I212" s="743"/>
      <c r="J212" s="743"/>
      <c r="K212" s="743"/>
      <c r="L212" s="743"/>
      <c r="M212" s="743"/>
      <c r="N212" s="743"/>
      <c r="O212" s="743"/>
      <c r="P212" s="743"/>
      <c r="Q212" s="743"/>
      <c r="R212" s="743"/>
      <c r="S212" s="743"/>
      <c r="T212" s="743"/>
      <c r="U212" s="743"/>
      <c r="V212" s="743"/>
      <c r="W212" s="743"/>
      <c r="X212" s="743"/>
      <c r="Y212" s="743"/>
      <c r="Z212" s="743"/>
      <c r="AA212" s="743"/>
      <c r="AB212" s="743"/>
      <c r="AC212" s="743"/>
      <c r="AD212" s="743"/>
      <c r="AE212" s="743"/>
      <c r="AF212" s="743"/>
      <c r="AG212" s="743"/>
      <c r="AH212" s="743"/>
      <c r="AI212" s="743"/>
      <c r="AJ212" s="743"/>
      <c r="AK212" s="743"/>
      <c r="AL212" s="743"/>
      <c r="AM212" s="743"/>
      <c r="AN212" s="743"/>
      <c r="AO212" s="743"/>
      <c r="AP212" s="743"/>
      <c r="AQ212" s="743"/>
      <c r="AR212" s="743"/>
      <c r="AS212" s="743"/>
      <c r="AT212" s="743"/>
      <c r="AU212" s="743"/>
      <c r="AV212" s="743"/>
      <c r="AW212" s="743"/>
      <c r="AX212" s="743"/>
      <c r="AY212" s="743"/>
      <c r="AZ212" s="743"/>
      <c r="BA212" s="743"/>
      <c r="BB212" s="743"/>
      <c r="BC212" s="743"/>
      <c r="BD212" s="743"/>
      <c r="BE212" s="743"/>
      <c r="BF212" s="743"/>
      <c r="BG212" s="743"/>
      <c r="BH212" s="743"/>
      <c r="BI212" s="743"/>
      <c r="BJ212" s="743"/>
      <c r="BK212" s="743"/>
      <c r="BL212" s="743"/>
      <c r="BM212" s="743"/>
      <c r="BN212" s="743"/>
      <c r="BO212" s="743"/>
      <c r="BP212" s="743"/>
      <c r="BQ212" s="743"/>
      <c r="BR212" s="743"/>
      <c r="BS212" s="743"/>
      <c r="BT212" s="743"/>
      <c r="BU212" s="743"/>
      <c r="BV212" s="743"/>
      <c r="BW212" s="743"/>
      <c r="BX212" s="743"/>
      <c r="BY212" s="743"/>
      <c r="BZ212" s="743"/>
      <c r="CA212" s="743"/>
      <c r="CB212" s="743"/>
      <c r="CC212" s="743"/>
      <c r="CD212" s="743"/>
      <c r="CE212" s="743"/>
      <c r="CF212" s="743"/>
      <c r="CG212" s="743"/>
      <c r="CH212" s="743"/>
      <c r="CI212" s="743"/>
      <c r="CJ212" s="743"/>
      <c r="CK212" s="743"/>
      <c r="CL212" s="743"/>
      <c r="CM212" s="743"/>
      <c r="CN212" s="743"/>
      <c r="CO212" s="743"/>
      <c r="CP212" s="743"/>
      <c r="CQ212" s="743"/>
      <c r="CR212" s="743"/>
      <c r="CS212" s="743"/>
      <c r="CT212" s="743"/>
      <c r="CU212" s="743"/>
      <c r="CV212" s="743"/>
      <c r="CW212" s="743"/>
      <c r="CX212" s="743"/>
      <c r="CY212" s="743"/>
      <c r="CZ212" s="743"/>
      <c r="DA212" s="743"/>
      <c r="DB212" s="743"/>
      <c r="DC212" s="743"/>
      <c r="DD212" s="743"/>
      <c r="DE212" s="743"/>
      <c r="DF212" s="743"/>
      <c r="DG212" s="743"/>
      <c r="DH212" s="743"/>
      <c r="DI212" s="743"/>
      <c r="DJ212" s="743"/>
      <c r="DK212" s="743"/>
      <c r="DL212" s="743"/>
      <c r="DM212" s="743"/>
      <c r="DN212" s="743"/>
      <c r="DO212" s="743"/>
      <c r="DP212" s="743"/>
      <c r="DQ212" s="743"/>
      <c r="DR212" s="743"/>
      <c r="DS212" s="743"/>
      <c r="DT212" s="743"/>
      <c r="DU212" s="743"/>
      <c r="DV212" s="743"/>
      <c r="DW212" s="743"/>
      <c r="DX212" s="743"/>
      <c r="DY212" s="743"/>
      <c r="DZ212" s="743"/>
      <c r="EA212" s="743"/>
      <c r="EB212" s="743"/>
      <c r="EC212" s="743"/>
      <c r="ED212" s="743"/>
      <c r="EE212" s="743"/>
      <c r="EF212" s="743"/>
      <c r="EG212" s="743"/>
      <c r="EH212" s="743"/>
      <c r="EI212" s="743"/>
      <c r="EJ212" s="743"/>
      <c r="EK212" s="743"/>
      <c r="EL212" s="743"/>
      <c r="EM212" s="743"/>
      <c r="EN212" s="743"/>
      <c r="EO212" s="743"/>
      <c r="EP212" s="743"/>
      <c r="EQ212" s="743"/>
      <c r="ER212" s="743"/>
      <c r="ES212" s="743"/>
      <c r="ET212" s="743"/>
      <c r="EU212" s="743"/>
      <c r="EV212" s="743"/>
      <c r="EW212" s="743"/>
      <c r="EX212" s="743"/>
      <c r="EY212" s="743"/>
      <c r="EZ212" s="743"/>
      <c r="FA212" s="743"/>
      <c r="FB212" s="743"/>
      <c r="FC212" s="743"/>
      <c r="FD212" s="743"/>
      <c r="FE212" s="743"/>
      <c r="FF212" s="743"/>
      <c r="FG212" s="743"/>
      <c r="FH212" s="743"/>
      <c r="FI212" s="743"/>
      <c r="FJ212" s="743"/>
      <c r="FK212" s="743"/>
      <c r="FL212" s="743"/>
      <c r="FM212" s="743"/>
      <c r="FN212" s="743"/>
      <c r="FO212" s="743"/>
      <c r="FP212" s="743"/>
      <c r="FQ212" s="743"/>
      <c r="FR212" s="743"/>
      <c r="FS212" s="743"/>
      <c r="FT212" s="743"/>
      <c r="FU212" s="743"/>
      <c r="FV212" s="743"/>
      <c r="FW212" s="743"/>
      <c r="FX212" s="743"/>
      <c r="FY212" s="743"/>
      <c r="FZ212" s="743"/>
      <c r="GA212" s="743"/>
      <c r="GB212" s="743"/>
      <c r="GC212" s="743"/>
      <c r="GD212" s="743"/>
      <c r="GE212" s="743"/>
      <c r="GF212" s="743"/>
      <c r="GG212" s="743"/>
      <c r="GH212" s="743"/>
      <c r="GI212" s="743"/>
      <c r="GJ212" s="743"/>
      <c r="GK212" s="743"/>
      <c r="GL212" s="743"/>
      <c r="GM212" s="743"/>
      <c r="GN212" s="743"/>
      <c r="GO212" s="743"/>
      <c r="GP212" s="743"/>
      <c r="GQ212" s="743"/>
      <c r="GR212" s="743"/>
      <c r="GS212" s="743"/>
      <c r="GT212" s="743"/>
      <c r="GU212" s="743"/>
      <c r="GV212" s="743"/>
      <c r="GW212" s="743"/>
      <c r="GX212" s="743"/>
      <c r="GY212" s="743"/>
      <c r="GZ212" s="743"/>
      <c r="HA212" s="743"/>
      <c r="HB212" s="743"/>
      <c r="HC212" s="743"/>
      <c r="HD212" s="743"/>
      <c r="HE212" s="743"/>
      <c r="HF212" s="743"/>
      <c r="HG212" s="743"/>
      <c r="HH212" s="743"/>
      <c r="HI212" s="743"/>
      <c r="HJ212" s="743"/>
      <c r="HK212" s="743"/>
      <c r="HL212" s="743"/>
      <c r="HM212" s="743"/>
      <c r="HN212" s="743"/>
      <c r="HO212" s="743"/>
      <c r="HP212" s="743"/>
      <c r="HQ212" s="743"/>
      <c r="HR212" s="743"/>
      <c r="HS212" s="744"/>
      <c r="HT212" s="744"/>
      <c r="HU212" s="744"/>
      <c r="HV212" s="744"/>
      <c r="HW212" s="744"/>
      <c r="HX212" s="744"/>
      <c r="HY212" s="744"/>
      <c r="HZ212" s="744"/>
      <c r="IA212" s="744"/>
      <c r="IB212" s="744"/>
      <c r="IC212" s="744"/>
      <c r="ID212" s="744"/>
      <c r="IE212" s="745"/>
      <c r="IF212" s="236"/>
      <c r="IG212" s="236"/>
      <c r="IH212" s="236"/>
      <c r="II212" s="129"/>
      <c r="IJ212" s="129"/>
      <c r="IK212" s="129"/>
      <c r="IL212" s="129"/>
      <c r="IM212" s="129"/>
      <c r="IN212" s="129"/>
      <c r="IO212" s="129"/>
    </row>
    <row r="213" spans="1:249" s="237" customFormat="1" ht="114" customHeight="1" x14ac:dyDescent="0.25">
      <c r="B213" s="131">
        <v>6</v>
      </c>
      <c r="C213" s="757" t="s">
        <v>307</v>
      </c>
      <c r="D213" s="757" t="s">
        <v>308</v>
      </c>
      <c r="E213" s="136" t="e">
        <f>F213+G213</f>
        <v>#REF!</v>
      </c>
      <c r="F213" s="136" t="e">
        <f>F216+F224+F228+F236</f>
        <v>#REF!</v>
      </c>
      <c r="G213" s="136" t="e">
        <f>G216+G224+G228+G236</f>
        <v>#REF!</v>
      </c>
      <c r="H213" s="136" t="e">
        <f>I213+J213</f>
        <v>#REF!</v>
      </c>
      <c r="I213" s="136" t="e">
        <f>I216+I224+I228+I236</f>
        <v>#REF!</v>
      </c>
      <c r="J213" s="136" t="e">
        <f>J216+J224+J228+J236</f>
        <v>#REF!</v>
      </c>
      <c r="K213" s="136" t="e">
        <f>L213+M213</f>
        <v>#REF!</v>
      </c>
      <c r="L213" s="136" t="e">
        <f>L216+L224+L228+L236</f>
        <v>#REF!</v>
      </c>
      <c r="M213" s="136" t="e">
        <f>M216+M224+M228+M236</f>
        <v>#REF!</v>
      </c>
      <c r="N213" s="136" t="e">
        <f>O213+P213</f>
        <v>#REF!</v>
      </c>
      <c r="O213" s="136" t="e">
        <f>O216+O224+O228+O236</f>
        <v>#REF!</v>
      </c>
      <c r="P213" s="136" t="e">
        <f>P216+P224+P228+P236</f>
        <v>#REF!</v>
      </c>
      <c r="Q213" s="136" t="e">
        <f>R213+S213</f>
        <v>#REF!</v>
      </c>
      <c r="R213" s="136" t="e">
        <f>R216+R224+R228+R236</f>
        <v>#REF!</v>
      </c>
      <c r="S213" s="136" t="e">
        <f>S216+S224+S228+S236</f>
        <v>#REF!</v>
      </c>
      <c r="T213" s="136">
        <f>U213+V213</f>
        <v>5862076.6555000003</v>
      </c>
      <c r="U213" s="136">
        <f>U216+U224+U228+U236</f>
        <v>200000</v>
      </c>
      <c r="V213" s="136">
        <f>V216+V224+V228+V236</f>
        <v>5662076.6555000003</v>
      </c>
      <c r="W213" s="136" t="e">
        <f>X213+Y213</f>
        <v>#REF!</v>
      </c>
      <c r="X213" s="136" t="e">
        <f t="shared" ref="X213:AN213" si="461">X216+X224+X228+X236</f>
        <v>#REF!</v>
      </c>
      <c r="Y213" s="136">
        <f t="shared" si="461"/>
        <v>-5662076.6555000003</v>
      </c>
      <c r="Z213" s="136" t="e">
        <f t="shared" si="461"/>
        <v>#REF!</v>
      </c>
      <c r="AA213" s="136" t="e">
        <f t="shared" si="461"/>
        <v>#REF!</v>
      </c>
      <c r="AB213" s="136">
        <f t="shared" si="461"/>
        <v>0</v>
      </c>
      <c r="AC213" s="136">
        <f t="shared" si="461"/>
        <v>0</v>
      </c>
      <c r="AD213" s="136">
        <f t="shared" si="461"/>
        <v>0</v>
      </c>
      <c r="AE213" s="136">
        <f t="shared" si="461"/>
        <v>0</v>
      </c>
      <c r="AF213" s="136" t="e">
        <f t="shared" si="461"/>
        <v>#REF!</v>
      </c>
      <c r="AG213" s="136" t="e">
        <f t="shared" si="461"/>
        <v>#REF!</v>
      </c>
      <c r="AH213" s="136">
        <f t="shared" si="461"/>
        <v>0</v>
      </c>
      <c r="AI213" s="136">
        <f t="shared" si="461"/>
        <v>0</v>
      </c>
      <c r="AJ213" s="136">
        <f t="shared" si="461"/>
        <v>2969445.1737899999</v>
      </c>
      <c r="AK213" s="136" t="e">
        <f t="shared" si="461"/>
        <v>#REF!</v>
      </c>
      <c r="AL213" s="136" t="e">
        <f t="shared" si="461"/>
        <v>#REF!</v>
      </c>
      <c r="AM213" s="136" t="e">
        <f t="shared" si="461"/>
        <v>#VALUE!</v>
      </c>
      <c r="AN213" s="136" t="e">
        <f t="shared" si="461"/>
        <v>#VALUE!</v>
      </c>
      <c r="AO213" s="136">
        <v>1</v>
      </c>
      <c r="AP213" s="136">
        <f t="shared" ref="AP213:BJ213" si="462">AP216+AP224+AP228+AP236</f>
        <v>3138788.24694</v>
      </c>
      <c r="AQ213" s="136">
        <f t="shared" si="462"/>
        <v>65271.912689999997</v>
      </c>
      <c r="AR213" s="136" t="e">
        <f t="shared" si="462"/>
        <v>#REF!</v>
      </c>
      <c r="AS213" s="136">
        <f t="shared" si="462"/>
        <v>6332825.6719999993</v>
      </c>
      <c r="AT213" s="136">
        <f t="shared" si="462"/>
        <v>6332825.6719999993</v>
      </c>
      <c r="AU213" s="136">
        <f t="shared" si="462"/>
        <v>0</v>
      </c>
      <c r="AV213" s="136">
        <f t="shared" si="462"/>
        <v>-10000</v>
      </c>
      <c r="AW213" s="136">
        <f t="shared" si="462"/>
        <v>-10000</v>
      </c>
      <c r="AX213" s="136">
        <f t="shared" si="462"/>
        <v>0</v>
      </c>
      <c r="AY213" s="136">
        <f t="shared" si="462"/>
        <v>6322825.6719999993</v>
      </c>
      <c r="AZ213" s="136">
        <f t="shared" si="462"/>
        <v>6322825.6719999993</v>
      </c>
      <c r="BA213" s="136">
        <f t="shared" si="462"/>
        <v>0</v>
      </c>
      <c r="BB213" s="136">
        <f t="shared" si="462"/>
        <v>6325928.5480000004</v>
      </c>
      <c r="BC213" s="136">
        <f t="shared" si="462"/>
        <v>6325928.5480000004</v>
      </c>
      <c r="BD213" s="136">
        <f t="shared" si="462"/>
        <v>0</v>
      </c>
      <c r="BE213" s="136">
        <f t="shared" si="462"/>
        <v>-700961.69599999976</v>
      </c>
      <c r="BF213" s="136">
        <f t="shared" si="462"/>
        <v>-700961.69599999976</v>
      </c>
      <c r="BG213" s="136">
        <f t="shared" si="462"/>
        <v>0</v>
      </c>
      <c r="BH213" s="136">
        <f t="shared" si="462"/>
        <v>5621863.9759999998</v>
      </c>
      <c r="BI213" s="136">
        <f t="shared" si="462"/>
        <v>5621863.9759999998</v>
      </c>
      <c r="BJ213" s="136">
        <f t="shared" si="462"/>
        <v>0</v>
      </c>
      <c r="BK213" s="136">
        <v>1</v>
      </c>
      <c r="BL213" s="136">
        <f t="shared" ref="BL213:CD213" si="463">BL216+BL224+BL228+BL236</f>
        <v>5719523.3969999999</v>
      </c>
      <c r="BM213" s="136">
        <f t="shared" si="463"/>
        <v>1691327.73172</v>
      </c>
      <c r="BN213" s="136">
        <f t="shared" si="463"/>
        <v>1691327.73172</v>
      </c>
      <c r="BO213" s="136">
        <f t="shared" si="463"/>
        <v>0</v>
      </c>
      <c r="BP213" s="136">
        <f t="shared" si="463"/>
        <v>0</v>
      </c>
      <c r="BQ213" s="136">
        <f t="shared" si="463"/>
        <v>0</v>
      </c>
      <c r="BR213" s="136">
        <f t="shared" si="463"/>
        <v>0</v>
      </c>
      <c r="BS213" s="136">
        <f t="shared" si="463"/>
        <v>3930536.2442800002</v>
      </c>
      <c r="BT213" s="136">
        <f t="shared" si="463"/>
        <v>3930536.2442800002</v>
      </c>
      <c r="BU213" s="136">
        <f t="shared" si="463"/>
        <v>0</v>
      </c>
      <c r="BV213" s="136">
        <f t="shared" si="463"/>
        <v>6332825.6720000003</v>
      </c>
      <c r="BW213" s="136">
        <f t="shared" si="463"/>
        <v>6332825.6720000003</v>
      </c>
      <c r="BX213" s="136">
        <f t="shared" si="463"/>
        <v>0</v>
      </c>
      <c r="BY213" s="136">
        <f t="shared" si="463"/>
        <v>-1064982.8330000001</v>
      </c>
      <c r="BZ213" s="136">
        <f t="shared" si="463"/>
        <v>-1064982.8330000001</v>
      </c>
      <c r="CA213" s="136">
        <f t="shared" si="463"/>
        <v>0</v>
      </c>
      <c r="CB213" s="136">
        <f t="shared" si="463"/>
        <v>4595881.1429999992</v>
      </c>
      <c r="CC213" s="136">
        <f t="shared" si="463"/>
        <v>4595881.1429999992</v>
      </c>
      <c r="CD213" s="136">
        <f t="shared" si="463"/>
        <v>0</v>
      </c>
      <c r="CE213" s="136">
        <v>1</v>
      </c>
      <c r="CF213" s="136">
        <f>CF216+CF224+CF228+CF236</f>
        <v>4354076.6739999996</v>
      </c>
      <c r="CG213" s="136"/>
      <c r="CH213" s="136">
        <f t="shared" ref="CH213:DB213" si="464">CH216+CH224+CH228+CH236</f>
        <v>6907493</v>
      </c>
      <c r="CI213" s="136">
        <f t="shared" si="464"/>
        <v>6907493</v>
      </c>
      <c r="CJ213" s="136">
        <f t="shared" si="464"/>
        <v>0</v>
      </c>
      <c r="CK213" s="136">
        <f t="shared" si="464"/>
        <v>-836239.08000000007</v>
      </c>
      <c r="CL213" s="136">
        <f t="shared" si="464"/>
        <v>-836239.08000000007</v>
      </c>
      <c r="CM213" s="136">
        <f t="shared" si="464"/>
        <v>0</v>
      </c>
      <c r="CN213" s="136" t="e">
        <f t="shared" si="464"/>
        <v>#REF!</v>
      </c>
      <c r="CO213" s="136" t="e">
        <f t="shared" si="464"/>
        <v>#REF!</v>
      </c>
      <c r="CP213" s="136" t="e">
        <f t="shared" si="464"/>
        <v>#REF!</v>
      </c>
      <c r="CQ213" s="136" t="e">
        <f t="shared" si="464"/>
        <v>#REF!</v>
      </c>
      <c r="CR213" s="136" t="e">
        <f t="shared" si="464"/>
        <v>#REF!</v>
      </c>
      <c r="CS213" s="136">
        <f t="shared" si="464"/>
        <v>0</v>
      </c>
      <c r="CT213" s="136">
        <f t="shared" si="464"/>
        <v>447156.43884999992</v>
      </c>
      <c r="CU213" s="136">
        <f t="shared" si="464"/>
        <v>447156.43884999992</v>
      </c>
      <c r="CV213" s="136">
        <f t="shared" si="464"/>
        <v>0</v>
      </c>
      <c r="CW213" s="136" t="e">
        <f t="shared" si="464"/>
        <v>#REF!</v>
      </c>
      <c r="CX213" s="136" t="e">
        <f t="shared" si="464"/>
        <v>#REF!</v>
      </c>
      <c r="CY213" s="136">
        <f t="shared" si="464"/>
        <v>0</v>
      </c>
      <c r="CZ213" s="136">
        <f t="shared" si="464"/>
        <v>4677252.142</v>
      </c>
      <c r="DA213" s="136">
        <f t="shared" si="464"/>
        <v>4677252.142</v>
      </c>
      <c r="DB213" s="136">
        <f t="shared" si="464"/>
        <v>0</v>
      </c>
      <c r="DC213" s="136"/>
      <c r="DD213" s="136"/>
      <c r="DE213" s="136"/>
      <c r="DF213" s="136" t="e">
        <f t="shared" ref="DF213:EH213" si="465">DF216+DF224+DF228+DF236</f>
        <v>#REF!</v>
      </c>
      <c r="DG213" s="136" t="e">
        <f t="shared" si="465"/>
        <v>#REF!</v>
      </c>
      <c r="DH213" s="136">
        <f t="shared" si="465"/>
        <v>0</v>
      </c>
      <c r="DI213" s="136" t="e">
        <f t="shared" si="465"/>
        <v>#REF!</v>
      </c>
      <c r="DJ213" s="136" t="e">
        <f t="shared" si="465"/>
        <v>#REF!</v>
      </c>
      <c r="DK213" s="136">
        <f t="shared" si="465"/>
        <v>0</v>
      </c>
      <c r="DL213" s="136">
        <f t="shared" si="465"/>
        <v>2571773.8697199998</v>
      </c>
      <c r="DM213" s="136">
        <f t="shared" si="465"/>
        <v>2571773.8697199998</v>
      </c>
      <c r="DN213" s="136">
        <f t="shared" si="465"/>
        <v>0</v>
      </c>
      <c r="DO213" s="136">
        <f t="shared" si="465"/>
        <v>1406296.9950600001</v>
      </c>
      <c r="DP213" s="136">
        <f t="shared" si="465"/>
        <v>1406296.9950600001</v>
      </c>
      <c r="DQ213" s="136">
        <f t="shared" si="465"/>
        <v>0</v>
      </c>
      <c r="DR213" s="136" t="e">
        <f t="shared" si="465"/>
        <v>#REF!</v>
      </c>
      <c r="DS213" s="136" t="e">
        <f t="shared" si="465"/>
        <v>#REF!</v>
      </c>
      <c r="DT213" s="136">
        <f t="shared" si="465"/>
        <v>0</v>
      </c>
      <c r="DU213" s="136">
        <f t="shared" si="465"/>
        <v>4577252.1419999991</v>
      </c>
      <c r="DV213" s="136">
        <f t="shared" si="465"/>
        <v>4577252.1419999991</v>
      </c>
      <c r="DW213" s="136">
        <f t="shared" si="465"/>
        <v>0</v>
      </c>
      <c r="DX213" s="136">
        <f t="shared" si="465"/>
        <v>4846062.4607999995</v>
      </c>
      <c r="DY213" s="136">
        <f t="shared" si="465"/>
        <v>4846062.4607999995</v>
      </c>
      <c r="DZ213" s="136">
        <f t="shared" si="465"/>
        <v>0</v>
      </c>
      <c r="EA213" s="136">
        <f t="shared" si="465"/>
        <v>0</v>
      </c>
      <c r="EB213" s="136">
        <f t="shared" si="465"/>
        <v>0</v>
      </c>
      <c r="EC213" s="136">
        <f t="shared" si="465"/>
        <v>0</v>
      </c>
      <c r="ED213" s="136" t="e">
        <f t="shared" si="465"/>
        <v>#REF!</v>
      </c>
      <c r="EE213" s="136" t="e">
        <f t="shared" si="465"/>
        <v>#REF!</v>
      </c>
      <c r="EF213" s="136">
        <f t="shared" si="465"/>
        <v>0</v>
      </c>
      <c r="EG213" s="136">
        <f t="shared" si="465"/>
        <v>4608296.3593500005</v>
      </c>
      <c r="EH213" s="136">
        <f t="shared" si="465"/>
        <v>4608296.3593500005</v>
      </c>
      <c r="EI213" s="136"/>
      <c r="EJ213" s="136">
        <f>EJ216+EJ224+EJ228+EJ236</f>
        <v>0</v>
      </c>
      <c r="EK213" s="136">
        <f>EK216+EK224+EK228+EK236</f>
        <v>-4608296.3593500005</v>
      </c>
      <c r="EL213" s="136">
        <f>EL216+EL224+EL228+EL236</f>
        <v>-4608296.3593500005</v>
      </c>
      <c r="EM213" s="136"/>
      <c r="EN213" s="136">
        <f>EN216+EN224+EN228+EN236</f>
        <v>0</v>
      </c>
      <c r="EO213" s="136">
        <f>EO216+EO224+EO228+EO236</f>
        <v>0</v>
      </c>
      <c r="EP213" s="136">
        <f>EP216+EP224+EP228+EP236</f>
        <v>0</v>
      </c>
      <c r="EQ213" s="136"/>
      <c r="ER213" s="136">
        <f>ER216+ER224+ER228+ER236</f>
        <v>0</v>
      </c>
      <c r="ES213" s="136">
        <f>ES216+ES224+ES228+ES236</f>
        <v>0</v>
      </c>
      <c r="ET213" s="136">
        <f>ET216+ET224+ET228+ET236</f>
        <v>0</v>
      </c>
      <c r="EU213" s="136"/>
      <c r="EV213" s="136">
        <f t="shared" ref="EV213:FC213" si="466">EV216+EV224+EV228+EV236</f>
        <v>0</v>
      </c>
      <c r="EW213" s="136">
        <f t="shared" si="466"/>
        <v>4667513.2158000004</v>
      </c>
      <c r="EX213" s="136">
        <f t="shared" si="466"/>
        <v>4667513.2158000004</v>
      </c>
      <c r="EY213" s="136">
        <f t="shared" si="466"/>
        <v>0</v>
      </c>
      <c r="EZ213" s="136" t="e">
        <f t="shared" si="466"/>
        <v>#REF!</v>
      </c>
      <c r="FA213" s="136" t="e">
        <f t="shared" si="466"/>
        <v>#REF!</v>
      </c>
      <c r="FB213" s="136">
        <f t="shared" si="466"/>
        <v>0</v>
      </c>
      <c r="FC213" s="134">
        <f t="shared" si="466"/>
        <v>6280002.03003</v>
      </c>
      <c r="FD213" s="134">
        <f>FD216+FD224+FD236</f>
        <v>6280002.03003</v>
      </c>
      <c r="FE213" s="134"/>
      <c r="FF213" s="134">
        <f>FF216+FF224+FF228+FF236</f>
        <v>0</v>
      </c>
      <c r="FG213" s="134">
        <f>FG216+FG224+FG228+FG236</f>
        <v>-512550.63214000012</v>
      </c>
      <c r="FH213" s="134">
        <f>FH216+FH224+FH228+FH236</f>
        <v>-512550.63214000012</v>
      </c>
      <c r="FI213" s="134"/>
      <c r="FJ213" s="134">
        <f>FJ216+FJ224+FJ228+FJ236</f>
        <v>0</v>
      </c>
      <c r="FK213" s="134">
        <f>FK216+FK224+FK228+FK236</f>
        <v>0</v>
      </c>
      <c r="FL213" s="134">
        <f>FL216+FL224+FL228+FL236</f>
        <v>0</v>
      </c>
      <c r="FM213" s="134"/>
      <c r="FN213" s="134">
        <f>FN216+FN224+FN228+FN236</f>
        <v>0</v>
      </c>
      <c r="FO213" s="134">
        <f>FO216+FO224+FO228+FO236</f>
        <v>3915456.3978900006</v>
      </c>
      <c r="FP213" s="134">
        <f>FP216+FP224+FP228+FP236</f>
        <v>3915456.3978900006</v>
      </c>
      <c r="FQ213" s="134"/>
      <c r="FR213" s="134">
        <f>FR216+FR224+FR228+FR236</f>
        <v>0</v>
      </c>
      <c r="FS213" s="134">
        <f>FU213</f>
        <v>3259055.8116899999</v>
      </c>
      <c r="FT213" s="578">
        <f>FS213/FC213</f>
        <v>0.51895776404302074</v>
      </c>
      <c r="FU213" s="134">
        <f>FU214+FU215</f>
        <v>3259055.8116899999</v>
      </c>
      <c r="FV213" s="578">
        <f>FU213/FD213</f>
        <v>0.51895776404302074</v>
      </c>
      <c r="FW213" s="136"/>
      <c r="FX213" s="136"/>
      <c r="FY213" s="136"/>
      <c r="FZ213" s="136"/>
      <c r="GA213" s="134">
        <f t="shared" ref="GA213:GA224" si="467">GC213</f>
        <v>3224392.0115</v>
      </c>
      <c r="GB213" s="578">
        <f>GA213/FC213</f>
        <v>0.51343805242123419</v>
      </c>
      <c r="GC213" s="134">
        <f>GC216+GC224+GC236</f>
        <v>3224392.0115</v>
      </c>
      <c r="GD213" s="578">
        <f>GC213/FD213</f>
        <v>0.51343805242123419</v>
      </c>
      <c r="GE213" s="134"/>
      <c r="GF213" s="136"/>
      <c r="GG213" s="134"/>
      <c r="GH213" s="136"/>
      <c r="GI213" s="134">
        <f t="shared" ref="GI213:GI224" si="468">GK213</f>
        <v>4689559.1690800004</v>
      </c>
      <c r="GJ213" s="578">
        <f>GI213/FC213</f>
        <v>0.7467448492301838</v>
      </c>
      <c r="GK213" s="134">
        <f>GK216+GK224+GK236</f>
        <v>4689559.1690800004</v>
      </c>
      <c r="GL213" s="578">
        <f>GK213/FD213</f>
        <v>0.7467448492301838</v>
      </c>
      <c r="GM213" s="134">
        <v>0</v>
      </c>
      <c r="GN213" s="578">
        <v>0</v>
      </c>
      <c r="GO213" s="134">
        <v>0</v>
      </c>
      <c r="GP213" s="578">
        <v>0</v>
      </c>
      <c r="GQ213" s="136"/>
      <c r="GR213" s="136"/>
      <c r="GS213" s="136"/>
      <c r="GT213" s="136"/>
      <c r="GU213" s="136" t="e">
        <f>GU216+GU224+GU228+GU236</f>
        <v>#REF!</v>
      </c>
      <c r="GV213" s="136" t="e">
        <f>GV216+GV224+GV228+GV236</f>
        <v>#REF!</v>
      </c>
      <c r="GW213" s="136"/>
      <c r="GX213" s="136">
        <f>GX216+GX224+GX228+GX236</f>
        <v>0</v>
      </c>
      <c r="GY213" s="136"/>
      <c r="GZ213" s="136"/>
      <c r="HA213" s="136"/>
      <c r="HB213" s="136"/>
      <c r="HC213" s="136"/>
      <c r="HD213" s="136"/>
      <c r="HE213" s="136"/>
      <c r="HF213" s="136"/>
      <c r="HG213" s="136" t="e">
        <f>HG216+HG224+HG228+HG236</f>
        <v>#REF!</v>
      </c>
      <c r="HH213" s="136" t="e">
        <f>HH216+HH224+HH228+HH236</f>
        <v>#REF!</v>
      </c>
      <c r="HI213" s="136"/>
      <c r="HJ213" s="136">
        <f>HJ216+HJ224+HJ228+HJ236</f>
        <v>0</v>
      </c>
      <c r="HK213" s="136" t="e">
        <f>HK216+HK224+HK228+HK236</f>
        <v>#REF!</v>
      </c>
      <c r="HL213" s="136" t="e">
        <f>HL216+HL224+HL228+HL236</f>
        <v>#REF!</v>
      </c>
      <c r="HM213" s="136"/>
      <c r="HN213" s="136">
        <f>HN216+HN224+HN228+HN236</f>
        <v>0</v>
      </c>
      <c r="HO213" s="136" t="e">
        <f>HO216+HO224+HO228+HO236</f>
        <v>#REF!</v>
      </c>
      <c r="HP213" s="136" t="e">
        <f>HP216+HP224+HP228+HP236</f>
        <v>#REF!</v>
      </c>
      <c r="HQ213" s="136"/>
      <c r="HR213" s="136">
        <f>HR216+HR224+HR228+HR236</f>
        <v>0</v>
      </c>
      <c r="HS213" s="136" t="e">
        <f>HS216+HS224+HS228+HS236</f>
        <v>#REF!</v>
      </c>
      <c r="HT213" s="136" t="e">
        <f>HT216+HT224+HT228+HT236</f>
        <v>#REF!</v>
      </c>
      <c r="HU213" s="136"/>
      <c r="HV213" s="136">
        <f>HV216+HV224+HV228+HV236</f>
        <v>0</v>
      </c>
      <c r="HW213" s="136" t="e">
        <f>HW216+HW224+HW228+HW236</f>
        <v>#REF!</v>
      </c>
      <c r="HX213" s="136" t="e">
        <f>HX216+HX224+HX228+HX236</f>
        <v>#REF!</v>
      </c>
      <c r="HY213" s="136"/>
      <c r="HZ213" s="136">
        <f>HZ216+HZ224+HZ228+HZ236</f>
        <v>0</v>
      </c>
      <c r="IA213" s="136" t="e">
        <f>IA216+IA224+IA228+IA236</f>
        <v>#REF!</v>
      </c>
      <c r="IB213" s="136" t="e">
        <f>IB216+IB224+IB228+IB236</f>
        <v>#REF!</v>
      </c>
      <c r="IC213" s="136"/>
      <c r="ID213" s="136">
        <f>ID216+ID224+ID228+ID236</f>
        <v>0</v>
      </c>
      <c r="IE213" s="140"/>
      <c r="IF213" s="238"/>
      <c r="IG213" s="238"/>
      <c r="IH213" s="238"/>
      <c r="II213" s="239"/>
      <c r="IJ213" s="239"/>
      <c r="IK213" s="239"/>
      <c r="IL213" s="239"/>
      <c r="IM213" s="239"/>
      <c r="IN213" s="239"/>
      <c r="IO213" s="239"/>
    </row>
    <row r="214" spans="1:249" s="214" customFormat="1" ht="45.75" customHeight="1" x14ac:dyDescent="0.25">
      <c r="B214" s="100"/>
      <c r="C214" s="101" t="s">
        <v>131</v>
      </c>
      <c r="D214" s="102"/>
      <c r="E214" s="103"/>
      <c r="F214" s="103"/>
      <c r="G214" s="103"/>
      <c r="H214" s="143"/>
      <c r="I214" s="103"/>
      <c r="J214" s="103"/>
      <c r="K214" s="103"/>
      <c r="L214" s="103"/>
      <c r="M214" s="103"/>
      <c r="N214" s="143"/>
      <c r="O214" s="103"/>
      <c r="P214" s="103"/>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9"/>
      <c r="AP214" s="105"/>
      <c r="AQ214" s="105"/>
      <c r="AR214" s="105"/>
      <c r="AS214" s="105"/>
      <c r="AT214" s="105"/>
      <c r="AU214" s="105"/>
      <c r="AV214" s="105"/>
      <c r="AW214" s="105"/>
      <c r="AX214" s="105"/>
      <c r="AY214" s="105"/>
      <c r="AZ214" s="105"/>
      <c r="BA214" s="105"/>
      <c r="BB214" s="105"/>
      <c r="BC214" s="105"/>
      <c r="BD214" s="105"/>
      <c r="BE214" s="105"/>
      <c r="BF214" s="105"/>
      <c r="BG214" s="105"/>
      <c r="BH214" s="105"/>
      <c r="BI214" s="105"/>
      <c r="BJ214" s="105"/>
      <c r="BK214" s="110"/>
      <c r="BL214" s="106"/>
      <c r="BM214" s="105"/>
      <c r="BN214" s="105"/>
      <c r="BO214" s="105"/>
      <c r="BP214" s="105"/>
      <c r="BQ214" s="105"/>
      <c r="BR214" s="105"/>
      <c r="BS214" s="105"/>
      <c r="BT214" s="105"/>
      <c r="BU214" s="105"/>
      <c r="BV214" s="105"/>
      <c r="BW214" s="105"/>
      <c r="BX214" s="105"/>
      <c r="BY214" s="105"/>
      <c r="BZ214" s="105"/>
      <c r="CA214" s="105"/>
      <c r="CB214" s="105"/>
      <c r="CC214" s="105"/>
      <c r="CD214" s="105"/>
      <c r="CE214" s="106"/>
      <c r="CF214" s="106"/>
      <c r="CG214" s="105"/>
      <c r="CH214" s="105"/>
      <c r="CI214" s="105"/>
      <c r="CJ214" s="105"/>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c r="DK214" s="105"/>
      <c r="DL214" s="105"/>
      <c r="DM214" s="105"/>
      <c r="DN214" s="105"/>
      <c r="DO214" s="105"/>
      <c r="DP214" s="105"/>
      <c r="DQ214" s="105"/>
      <c r="DR214" s="105"/>
      <c r="DS214" s="105"/>
      <c r="DT214" s="105"/>
      <c r="DU214" s="105"/>
      <c r="DV214" s="105"/>
      <c r="DW214" s="105"/>
      <c r="DX214" s="105"/>
      <c r="DY214" s="105"/>
      <c r="DZ214" s="105"/>
      <c r="EA214" s="105"/>
      <c r="EB214" s="105"/>
      <c r="EC214" s="105"/>
      <c r="ED214" s="105"/>
      <c r="EE214" s="105"/>
      <c r="EF214" s="105"/>
      <c r="EG214" s="105">
        <f>EH214+EI214+EJ214</f>
        <v>348055.62220000004</v>
      </c>
      <c r="EH214" s="105">
        <f>EH38+EH143+EH181+EH192+EH195</f>
        <v>290541.68420000002</v>
      </c>
      <c r="EI214" s="105">
        <f>EI38+EI143+EI181+EI192+EI195</f>
        <v>0</v>
      </c>
      <c r="EJ214" s="105">
        <f>EJ38+EJ143+EJ181+EJ192+EJ195</f>
        <v>57513.938000000002</v>
      </c>
      <c r="EK214" s="105">
        <f>EL214+EM214+EN214</f>
        <v>-13120.291999999999</v>
      </c>
      <c r="EL214" s="105">
        <f>EL38+EL143+EL181+EL192+EL195</f>
        <v>-13120.291999999999</v>
      </c>
      <c r="EM214" s="105">
        <f>EM38+EM143+EM181+EM192+EM195</f>
        <v>0</v>
      </c>
      <c r="EN214" s="105">
        <f>EN38+EN143+EN181+EN192+EN195</f>
        <v>0</v>
      </c>
      <c r="EO214" s="105"/>
      <c r="EP214" s="105"/>
      <c r="EQ214" s="105"/>
      <c r="ER214" s="105"/>
      <c r="ES214" s="105">
        <f>ET214+EU214+EV214</f>
        <v>0</v>
      </c>
      <c r="ET214" s="105">
        <f>ET38+ET143+ET181+ET192+ET195</f>
        <v>0</v>
      </c>
      <c r="EU214" s="105">
        <f>EU38+EU143+EU181+EU192+EU195</f>
        <v>0</v>
      </c>
      <c r="EV214" s="105">
        <f>EV38+EV143+EV181+EV192+EV195</f>
        <v>0</v>
      </c>
      <c r="EW214" s="105"/>
      <c r="EX214" s="105"/>
      <c r="EY214" s="105"/>
      <c r="EZ214" s="105"/>
      <c r="FA214" s="105"/>
      <c r="FB214" s="105"/>
      <c r="FC214" s="103">
        <f>FD214+FE214+FF214</f>
        <v>5780002.03003</v>
      </c>
      <c r="FD214" s="103">
        <f>FD216+FD224+FD237</f>
        <v>5780002.03003</v>
      </c>
      <c r="FE214" s="103"/>
      <c r="FF214" s="103"/>
      <c r="FG214" s="103" t="e">
        <f>FH214+FI214+FJ214</f>
        <v>#REF!</v>
      </c>
      <c r="FH214" s="103" t="e">
        <f>FH38+FH143+FH181+FH192+FH195</f>
        <v>#REF!</v>
      </c>
      <c r="FI214" s="103">
        <f>FI38+FI143+FI181+FI192+FI195</f>
        <v>0</v>
      </c>
      <c r="FJ214" s="103">
        <f>FJ38+FJ143+FJ181+FJ192+FJ195</f>
        <v>0</v>
      </c>
      <c r="FK214" s="103"/>
      <c r="FL214" s="103"/>
      <c r="FM214" s="103"/>
      <c r="FN214" s="103"/>
      <c r="FO214" s="103">
        <f>FP214+FQ214+FR214</f>
        <v>348055.62220000004</v>
      </c>
      <c r="FP214" s="103">
        <f>FP38+FP143+FP181+FP192+FP195</f>
        <v>290541.68420000002</v>
      </c>
      <c r="FQ214" s="103">
        <f>FQ38+FQ143+FQ181+FQ192+FQ195</f>
        <v>0</v>
      </c>
      <c r="FR214" s="103">
        <f>FR38+FR143+FR181+FR192+FR195</f>
        <v>57513.938000000002</v>
      </c>
      <c r="FS214" s="629">
        <f>FU214+FW214+FY214</f>
        <v>2806898.1252000001</v>
      </c>
      <c r="FT214" s="595">
        <f t="shared" ref="FT214:FT215" si="469">FS214/FC214</f>
        <v>0.48562234245191632</v>
      </c>
      <c r="FU214" s="629">
        <f>FU216+FU224+FU237</f>
        <v>2806898.1252000001</v>
      </c>
      <c r="FV214" s="595">
        <f t="shared" ref="FV214:FV215" si="470">FU214/FD214</f>
        <v>0.48562234245191632</v>
      </c>
      <c r="FW214" s="105">
        <f>FW38+FW143+FW181+FW192+FW195</f>
        <v>0</v>
      </c>
      <c r="FX214" s="666">
        <v>0</v>
      </c>
      <c r="FY214" s="105">
        <f>FY38+FY143+FY181+FY192+FY195</f>
        <v>0</v>
      </c>
      <c r="FZ214" s="666">
        <v>0</v>
      </c>
      <c r="GA214" s="629">
        <f>GC214+GE214+GG214</f>
        <v>2772234.3250100003</v>
      </c>
      <c r="GB214" s="595">
        <f>GA214/FC214</f>
        <v>0.4796251472935229</v>
      </c>
      <c r="GC214" s="629">
        <f>GC216+GC224+GC237</f>
        <v>2772234.3250100003</v>
      </c>
      <c r="GD214" s="595">
        <f>GC214/FD214</f>
        <v>0.4796251472935229</v>
      </c>
      <c r="GE214" s="105"/>
      <c r="GF214" s="514"/>
      <c r="GG214" s="103"/>
      <c r="GH214" s="514"/>
      <c r="GI214" s="629">
        <f>GK214+GM214+GO214</f>
        <v>4237401.4825900001</v>
      </c>
      <c r="GJ214" s="595">
        <f t="shared" ref="GJ214:GJ277" si="471">GI214/FC214</f>
        <v>0.73311418587304655</v>
      </c>
      <c r="GK214" s="629">
        <f>GK216+GK224+GK237</f>
        <v>4237401.4825900001</v>
      </c>
      <c r="GL214" s="595">
        <f t="shared" ref="GL214:GL277" si="472">GK214/FD214</f>
        <v>0.73311418587304655</v>
      </c>
      <c r="GM214" s="103">
        <f>GM38+GM143+GM181+GM192+GM195</f>
        <v>0</v>
      </c>
      <c r="GN214" s="595">
        <v>0</v>
      </c>
      <c r="GO214" s="629">
        <f>GO216+GO224+GO237</f>
        <v>0</v>
      </c>
      <c r="GP214" s="595">
        <v>0</v>
      </c>
      <c r="GQ214" s="105"/>
      <c r="GR214" s="105"/>
      <c r="GS214" s="105"/>
      <c r="GT214" s="105"/>
      <c r="GU214" s="105">
        <f>GV214+GW214+GX214</f>
        <v>8189.6653699999997</v>
      </c>
      <c r="GV214" s="105">
        <f>GV38+GV143+GV181+GV192+GV195</f>
        <v>8189.6653699999997</v>
      </c>
      <c r="GW214" s="105">
        <f>GW38+GW143+GW181+GW192+GW195</f>
        <v>0</v>
      </c>
      <c r="GX214" s="105">
        <f>GX38+GX143+GX181+GX192+GX195</f>
        <v>0</v>
      </c>
      <c r="GY214" s="144"/>
      <c r="GZ214" s="144"/>
      <c r="HA214" s="144"/>
      <c r="HB214" s="144"/>
      <c r="HC214" s="144"/>
      <c r="HD214" s="144"/>
      <c r="HE214" s="144"/>
      <c r="HF214" s="144"/>
      <c r="HG214" s="105">
        <f>HH214+HI214+HJ214</f>
        <v>0</v>
      </c>
      <c r="HH214" s="105">
        <f>HH38+HH143+HH181+HH192+HH195</f>
        <v>0</v>
      </c>
      <c r="HI214" s="105">
        <f>HI38+HI143+HI181+HI192+HI195</f>
        <v>0</v>
      </c>
      <c r="HJ214" s="105">
        <f>HJ38+HJ143+HJ181+HJ192+HJ195</f>
        <v>0</v>
      </c>
      <c r="HK214" s="105">
        <f>HL214+HM214+HN214</f>
        <v>0</v>
      </c>
      <c r="HL214" s="105">
        <f>HL38+HL143+HL181+HL192+HL195</f>
        <v>0</v>
      </c>
      <c r="HM214" s="105">
        <f>HM38+HM143+HM181+HM192+HM195</f>
        <v>0</v>
      </c>
      <c r="HN214" s="105">
        <f>HN38+HN143+HN181+HN192+HN195</f>
        <v>0</v>
      </c>
      <c r="HO214" s="105">
        <f>HP214+HQ214+HR214</f>
        <v>8189.6653699999997</v>
      </c>
      <c r="HP214" s="105">
        <f>HP38+HP143+HP181+HP192+HP195</f>
        <v>8189.6653699999997</v>
      </c>
      <c r="HQ214" s="105">
        <f>HQ38+HQ143+HQ181+HQ192+HQ195</f>
        <v>0</v>
      </c>
      <c r="HR214" s="105">
        <f>HR38+HR143+HR181+HR192+HR195</f>
        <v>0</v>
      </c>
      <c r="HS214" s="105">
        <f>HT214+HU214+HV214</f>
        <v>0</v>
      </c>
      <c r="HT214" s="105">
        <f>HT38+HT143+HT181+HT192+HT195</f>
        <v>0</v>
      </c>
      <c r="HU214" s="105">
        <f>HU38+HU143+HU181+HU192+HU195</f>
        <v>0</v>
      </c>
      <c r="HV214" s="105">
        <f>HV38+HV143+HV181+HV192+HV195</f>
        <v>0</v>
      </c>
      <c r="HW214" s="105">
        <f>HX214+HY214+HZ214</f>
        <v>0</v>
      </c>
      <c r="HX214" s="105">
        <f>HX38+HX143+HX181+HX192+HX195</f>
        <v>0</v>
      </c>
      <c r="HY214" s="105">
        <f>HY38+HY143+HY181+HY192+HY195</f>
        <v>0</v>
      </c>
      <c r="HZ214" s="105">
        <f>HZ38+HZ143+HZ181+HZ192+HZ195</f>
        <v>0</v>
      </c>
      <c r="IA214" s="105">
        <f>IB214+IC214+ID214</f>
        <v>0</v>
      </c>
      <c r="IB214" s="105">
        <f>IB38+IB143+IB181+IB192+IB195</f>
        <v>0</v>
      </c>
      <c r="IC214" s="105">
        <f>IC38+IC143+IC181+IC192+IC195</f>
        <v>0</v>
      </c>
      <c r="ID214" s="105">
        <f>ID38+ID143+ID181+ID192+ID195</f>
        <v>0</v>
      </c>
      <c r="IE214" s="198"/>
      <c r="IF214" s="141"/>
      <c r="IG214" s="141"/>
      <c r="IH214" s="141"/>
      <c r="II214" s="202"/>
      <c r="IJ214" s="202"/>
      <c r="IK214" s="202"/>
      <c r="IL214" s="202"/>
      <c r="IM214" s="202"/>
      <c r="IN214" s="202"/>
      <c r="IO214" s="202"/>
    </row>
    <row r="215" spans="1:249" s="127" customFormat="1" ht="46.5" customHeight="1" x14ac:dyDescent="0.25">
      <c r="B215" s="115"/>
      <c r="C215" s="116" t="s">
        <v>132</v>
      </c>
      <c r="D215" s="117"/>
      <c r="E215" s="118"/>
      <c r="F215" s="118"/>
      <c r="G215" s="118"/>
      <c r="H215" s="118"/>
      <c r="I215" s="118"/>
      <c r="J215" s="118"/>
      <c r="K215" s="118"/>
      <c r="L215" s="118"/>
      <c r="M215" s="118"/>
      <c r="N215" s="118"/>
      <c r="O215" s="118"/>
      <c r="P215" s="118"/>
      <c r="Q215" s="119"/>
      <c r="R215" s="119"/>
      <c r="S215" s="119"/>
      <c r="T215" s="119"/>
      <c r="U215" s="119"/>
      <c r="V215" s="119"/>
      <c r="W215" s="119"/>
      <c r="X215" s="119"/>
      <c r="Y215" s="119"/>
      <c r="Z215" s="119"/>
      <c r="AA215" s="119"/>
      <c r="AB215" s="119"/>
      <c r="AC215" s="119"/>
      <c r="AD215" s="119"/>
      <c r="AE215" s="119"/>
      <c r="AF215" s="119"/>
      <c r="AG215" s="119"/>
      <c r="AH215" s="119"/>
      <c r="AI215" s="120"/>
      <c r="AJ215" s="119"/>
      <c r="AK215" s="119"/>
      <c r="AL215" s="119"/>
      <c r="AM215" s="121"/>
      <c r="AN215" s="119"/>
      <c r="AO215" s="122"/>
      <c r="AP215" s="119"/>
      <c r="AQ215" s="119"/>
      <c r="AR215" s="119"/>
      <c r="AS215" s="119"/>
      <c r="AT215" s="119"/>
      <c r="AU215" s="119"/>
      <c r="AV215" s="119"/>
      <c r="AW215" s="119"/>
      <c r="AX215" s="119"/>
      <c r="AY215" s="119"/>
      <c r="AZ215" s="119"/>
      <c r="BA215" s="119"/>
      <c r="BB215" s="119"/>
      <c r="BC215" s="119"/>
      <c r="BD215" s="119"/>
      <c r="BE215" s="119"/>
      <c r="BF215" s="119"/>
      <c r="BG215" s="119"/>
      <c r="BH215" s="119"/>
      <c r="BI215" s="119"/>
      <c r="BJ215" s="119"/>
      <c r="BK215" s="123"/>
      <c r="BL215" s="124"/>
      <c r="BM215" s="124"/>
      <c r="BN215" s="124"/>
      <c r="BO215" s="124"/>
      <c r="BP215" s="124"/>
      <c r="BQ215" s="124"/>
      <c r="BR215" s="124"/>
      <c r="BS215" s="124"/>
      <c r="BT215" s="124"/>
      <c r="BU215" s="124"/>
      <c r="BV215" s="119"/>
      <c r="BW215" s="119"/>
      <c r="BX215" s="119"/>
      <c r="BY215" s="119"/>
      <c r="BZ215" s="119"/>
      <c r="CA215" s="119"/>
      <c r="CB215" s="119"/>
      <c r="CC215" s="119"/>
      <c r="CD215" s="119"/>
      <c r="CE215" s="124"/>
      <c r="CF215" s="124"/>
      <c r="CG215" s="119"/>
      <c r="CH215" s="119"/>
      <c r="CI215" s="119"/>
      <c r="CJ215" s="119"/>
      <c r="CK215" s="119"/>
      <c r="CL215" s="119"/>
      <c r="CM215" s="119"/>
      <c r="CN215" s="119"/>
      <c r="CO215" s="119"/>
      <c r="CP215" s="119"/>
      <c r="CQ215" s="119"/>
      <c r="CR215" s="119"/>
      <c r="CS215" s="119"/>
      <c r="CT215" s="119"/>
      <c r="CU215" s="119"/>
      <c r="CV215" s="119"/>
      <c r="CW215" s="119"/>
      <c r="CX215" s="119"/>
      <c r="CY215" s="119"/>
      <c r="CZ215" s="119"/>
      <c r="DA215" s="119"/>
      <c r="DB215" s="119"/>
      <c r="DC215" s="119"/>
      <c r="DD215" s="119"/>
      <c r="DE215" s="119"/>
      <c r="DF215" s="119"/>
      <c r="DG215" s="119"/>
      <c r="DH215" s="119"/>
      <c r="DI215" s="119"/>
      <c r="DJ215" s="119"/>
      <c r="DK215" s="119"/>
      <c r="DL215" s="119"/>
      <c r="DM215" s="119"/>
      <c r="DN215" s="119"/>
      <c r="DO215" s="119"/>
      <c r="DP215" s="119"/>
      <c r="DQ215" s="119"/>
      <c r="DR215" s="119"/>
      <c r="DS215" s="119"/>
      <c r="DT215" s="119"/>
      <c r="DU215" s="119"/>
      <c r="DV215" s="119"/>
      <c r="DW215" s="119"/>
      <c r="DX215" s="119"/>
      <c r="DY215" s="119"/>
      <c r="DZ215" s="119"/>
      <c r="EA215" s="119"/>
      <c r="EB215" s="119"/>
      <c r="EC215" s="119"/>
      <c r="ED215" s="119"/>
      <c r="EE215" s="119"/>
      <c r="EF215" s="119"/>
      <c r="EG215" s="119">
        <f>EH215+EI215+EJ215</f>
        <v>0</v>
      </c>
      <c r="EH215" s="119">
        <f>EH39</f>
        <v>0</v>
      </c>
      <c r="EI215" s="119">
        <f>EI39</f>
        <v>0</v>
      </c>
      <c r="EJ215" s="119">
        <f>EJ39</f>
        <v>0</v>
      </c>
      <c r="EK215" s="119">
        <f>EL215+EM215+EN215</f>
        <v>0</v>
      </c>
      <c r="EL215" s="119">
        <f>EL39</f>
        <v>0</v>
      </c>
      <c r="EM215" s="119">
        <f>EM39</f>
        <v>0</v>
      </c>
      <c r="EN215" s="119">
        <f>EN39</f>
        <v>0</v>
      </c>
      <c r="EO215" s="119"/>
      <c r="EP215" s="119"/>
      <c r="EQ215" s="119"/>
      <c r="ER215" s="119"/>
      <c r="ES215" s="119">
        <f>ET215+EU215+EV215</f>
        <v>0</v>
      </c>
      <c r="ET215" s="119">
        <f>ET39</f>
        <v>0</v>
      </c>
      <c r="EU215" s="119">
        <f>EU39</f>
        <v>0</v>
      </c>
      <c r="EV215" s="119">
        <f>EV39</f>
        <v>0</v>
      </c>
      <c r="EW215" s="119"/>
      <c r="EX215" s="119"/>
      <c r="EY215" s="119"/>
      <c r="EZ215" s="119"/>
      <c r="FA215" s="119"/>
      <c r="FB215" s="119"/>
      <c r="FC215" s="118">
        <f>FD215+FE215+FF215</f>
        <v>500000</v>
      </c>
      <c r="FD215" s="118">
        <f>FD243</f>
        <v>500000</v>
      </c>
      <c r="FE215" s="118">
        <f>FE39</f>
        <v>0</v>
      </c>
      <c r="FF215" s="118">
        <f>FF39</f>
        <v>0</v>
      </c>
      <c r="FG215" s="118">
        <f>FH215+FI215+FJ215</f>
        <v>0</v>
      </c>
      <c r="FH215" s="118">
        <f>FH39</f>
        <v>0</v>
      </c>
      <c r="FI215" s="118">
        <f>FI39</f>
        <v>0</v>
      </c>
      <c r="FJ215" s="118">
        <f>FJ39</f>
        <v>0</v>
      </c>
      <c r="FK215" s="118"/>
      <c r="FL215" s="118"/>
      <c r="FM215" s="118"/>
      <c r="FN215" s="118"/>
      <c r="FO215" s="118">
        <f>FP215+FQ215+FR215</f>
        <v>0</v>
      </c>
      <c r="FP215" s="118">
        <f>FP39</f>
        <v>0</v>
      </c>
      <c r="FQ215" s="118">
        <f>FQ39</f>
        <v>0</v>
      </c>
      <c r="FR215" s="118">
        <f>FR39</f>
        <v>0</v>
      </c>
      <c r="FS215" s="74">
        <f>FU215+FW215+FY215</f>
        <v>452157.68648999999</v>
      </c>
      <c r="FT215" s="487">
        <f t="shared" si="469"/>
        <v>0.90431537297999998</v>
      </c>
      <c r="FU215" s="74">
        <f>FU243</f>
        <v>452157.68648999999</v>
      </c>
      <c r="FV215" s="487">
        <f t="shared" si="470"/>
        <v>0.90431537297999998</v>
      </c>
      <c r="FW215" s="119">
        <f>FW39</f>
        <v>0</v>
      </c>
      <c r="FX215" s="662">
        <v>0</v>
      </c>
      <c r="FY215" s="119">
        <f>FY39</f>
        <v>0</v>
      </c>
      <c r="FZ215" s="662">
        <v>0</v>
      </c>
      <c r="GA215" s="74">
        <f>GC215+GE215+GG215</f>
        <v>452157.68648999999</v>
      </c>
      <c r="GB215" s="487">
        <f>GA215/FC215</f>
        <v>0.90431537297999998</v>
      </c>
      <c r="GC215" s="74">
        <f>GC243</f>
        <v>452157.68648999999</v>
      </c>
      <c r="GD215" s="487">
        <f>GC215/FD215</f>
        <v>0.90431537297999998</v>
      </c>
      <c r="GE215" s="119"/>
      <c r="GF215" s="513"/>
      <c r="GG215" s="118"/>
      <c r="GH215" s="513"/>
      <c r="GI215" s="74">
        <f>GK215+GM215+GO215</f>
        <v>452157.68648999999</v>
      </c>
      <c r="GJ215" s="487">
        <f t="shared" si="471"/>
        <v>0.90431537297999998</v>
      </c>
      <c r="GK215" s="74">
        <f>GK243</f>
        <v>452157.68648999999</v>
      </c>
      <c r="GL215" s="487">
        <f t="shared" si="472"/>
        <v>0.90431537297999998</v>
      </c>
      <c r="GM215" s="118">
        <f>GM39</f>
        <v>0</v>
      </c>
      <c r="GN215" s="487">
        <v>0</v>
      </c>
      <c r="GO215" s="118">
        <f>GO39</f>
        <v>0</v>
      </c>
      <c r="GP215" s="487">
        <v>0</v>
      </c>
      <c r="GQ215" s="119"/>
      <c r="GR215" s="119"/>
      <c r="GS215" s="119"/>
      <c r="GT215" s="119"/>
      <c r="GU215" s="119">
        <f>GV215+GW215+GX215</f>
        <v>0</v>
      </c>
      <c r="GV215" s="119">
        <f>GV39</f>
        <v>0</v>
      </c>
      <c r="GW215" s="119">
        <f>GW39</f>
        <v>0</v>
      </c>
      <c r="GX215" s="119">
        <f>GX39</f>
        <v>0</v>
      </c>
      <c r="GY215" s="119"/>
      <c r="GZ215" s="119"/>
      <c r="HA215" s="119"/>
      <c r="HB215" s="119"/>
      <c r="HC215" s="119"/>
      <c r="HD215" s="119"/>
      <c r="HE215" s="119"/>
      <c r="HF215" s="119"/>
      <c r="HG215" s="119">
        <f>HH215+HI215+HJ215</f>
        <v>0</v>
      </c>
      <c r="HH215" s="119">
        <f>HH39</f>
        <v>0</v>
      </c>
      <c r="HI215" s="119">
        <f>HI39</f>
        <v>0</v>
      </c>
      <c r="HJ215" s="119">
        <f>HJ39</f>
        <v>0</v>
      </c>
      <c r="HK215" s="119">
        <v>0</v>
      </c>
      <c r="HL215" s="119">
        <v>0</v>
      </c>
      <c r="HM215" s="119">
        <v>0</v>
      </c>
      <c r="HN215" s="119">
        <v>0</v>
      </c>
      <c r="HO215" s="119">
        <f>HP215+HQ215+HR215</f>
        <v>0</v>
      </c>
      <c r="HP215" s="119">
        <f>HP39</f>
        <v>0</v>
      </c>
      <c r="HQ215" s="119">
        <f>HQ39</f>
        <v>0</v>
      </c>
      <c r="HR215" s="119">
        <f>HR39</f>
        <v>0</v>
      </c>
      <c r="HS215" s="119">
        <f>HT215+HU215+HV215</f>
        <v>0</v>
      </c>
      <c r="HT215" s="119">
        <f>HT39</f>
        <v>0</v>
      </c>
      <c r="HU215" s="119">
        <f>HU39</f>
        <v>0</v>
      </c>
      <c r="HV215" s="119">
        <f>HV39</f>
        <v>0</v>
      </c>
      <c r="HW215" s="272">
        <f>HX215+HY215+HZ215</f>
        <v>0</v>
      </c>
      <c r="HX215" s="119">
        <f>HX39</f>
        <v>0</v>
      </c>
      <c r="HY215" s="119">
        <f>HY39</f>
        <v>0</v>
      </c>
      <c r="HZ215" s="119">
        <f>HZ39</f>
        <v>0</v>
      </c>
      <c r="IA215" s="119">
        <f>IB215+IC215+ID215</f>
        <v>0</v>
      </c>
      <c r="IB215" s="119">
        <f>IB39</f>
        <v>0</v>
      </c>
      <c r="IC215" s="119">
        <f>IC39</f>
        <v>0</v>
      </c>
      <c r="ID215" s="119">
        <f>ID39</f>
        <v>0</v>
      </c>
      <c r="IE215" s="125"/>
      <c r="IF215" s="126"/>
      <c r="IG215" s="126"/>
      <c r="IH215" s="126"/>
    </row>
    <row r="216" spans="1:249" s="240" customFormat="1" ht="84" customHeight="1" x14ac:dyDescent="0.25">
      <c r="B216" s="241" t="s">
        <v>91</v>
      </c>
      <c r="C216" s="242" t="s">
        <v>309</v>
      </c>
      <c r="D216" s="242" t="s">
        <v>310</v>
      </c>
      <c r="E216" s="192">
        <f>E218+E221+E219</f>
        <v>2508317.3162799999</v>
      </c>
      <c r="F216" s="192">
        <f>F217+F221</f>
        <v>2430790.4604599997</v>
      </c>
      <c r="G216" s="192">
        <f>G217+G221</f>
        <v>77526.855819999997</v>
      </c>
      <c r="H216" s="192">
        <f>H218+H221+H219</f>
        <v>0</v>
      </c>
      <c r="I216" s="192">
        <f>I217+I221</f>
        <v>0</v>
      </c>
      <c r="J216" s="192">
        <f>J217+J221</f>
        <v>0</v>
      </c>
      <c r="K216" s="192">
        <f>K218+K221+K219</f>
        <v>2508317.3162799999</v>
      </c>
      <c r="L216" s="192">
        <f>L217+L221</f>
        <v>2430790.4604599997</v>
      </c>
      <c r="M216" s="192">
        <f>M217+M221</f>
        <v>77526.855819999997</v>
      </c>
      <c r="N216" s="192">
        <f>N218+N221+N219</f>
        <v>0</v>
      </c>
      <c r="O216" s="192">
        <f>O217+O221</f>
        <v>0</v>
      </c>
      <c r="P216" s="192">
        <f>P217+P221</f>
        <v>0</v>
      </c>
      <c r="Q216" s="192">
        <f>Q218+Q221+Q219</f>
        <v>2508317.3162799999</v>
      </c>
      <c r="R216" s="192">
        <f>R217+R221</f>
        <v>2430790.4604599997</v>
      </c>
      <c r="S216" s="192">
        <f>S217+S221</f>
        <v>77526.855819999997</v>
      </c>
      <c r="T216" s="192">
        <f>T218+T221+T219</f>
        <v>3036026.023</v>
      </c>
      <c r="U216" s="192">
        <f>U217+U221</f>
        <v>0</v>
      </c>
      <c r="V216" s="192">
        <f>V217+V221</f>
        <v>3036026.023</v>
      </c>
      <c r="W216" s="192">
        <f>W218+W221+W219</f>
        <v>-215124.28694000002</v>
      </c>
      <c r="X216" s="192">
        <f t="shared" ref="X216:AN216" si="473">X217+X221</f>
        <v>2820901.73606</v>
      </c>
      <c r="Y216" s="192">
        <f t="shared" si="473"/>
        <v>-3036026.023</v>
      </c>
      <c r="Z216" s="192">
        <f t="shared" si="473"/>
        <v>2820901.73606</v>
      </c>
      <c r="AA216" s="192">
        <f t="shared" si="473"/>
        <v>2820901.73606</v>
      </c>
      <c r="AB216" s="192">
        <f t="shared" si="473"/>
        <v>0</v>
      </c>
      <c r="AC216" s="192">
        <f t="shared" si="473"/>
        <v>0</v>
      </c>
      <c r="AD216" s="192">
        <f t="shared" si="473"/>
        <v>0</v>
      </c>
      <c r="AE216" s="192">
        <f t="shared" si="473"/>
        <v>0</v>
      </c>
      <c r="AF216" s="192">
        <f t="shared" si="473"/>
        <v>2820901.73606</v>
      </c>
      <c r="AG216" s="192">
        <f t="shared" si="473"/>
        <v>2820901.73606</v>
      </c>
      <c r="AH216" s="192">
        <f t="shared" si="473"/>
        <v>0</v>
      </c>
      <c r="AI216" s="192">
        <f t="shared" si="473"/>
        <v>0</v>
      </c>
      <c r="AJ216" s="192">
        <f t="shared" si="473"/>
        <v>1412554.6367500001</v>
      </c>
      <c r="AK216" s="192">
        <f t="shared" si="473"/>
        <v>1408347.09931</v>
      </c>
      <c r="AL216" s="192">
        <f t="shared" si="473"/>
        <v>1408347.09931</v>
      </c>
      <c r="AM216" s="192">
        <f t="shared" si="473"/>
        <v>0</v>
      </c>
      <c r="AN216" s="192">
        <f t="shared" si="473"/>
        <v>0</v>
      </c>
      <c r="AO216" s="192">
        <v>1</v>
      </c>
      <c r="AP216" s="192">
        <f t="shared" ref="AP216:CA216" si="474">AP217+AP221</f>
        <v>1440892.3199699998</v>
      </c>
      <c r="AQ216" s="192">
        <f t="shared" si="474"/>
        <v>96.814340000000001</v>
      </c>
      <c r="AR216" s="192">
        <f t="shared" si="474"/>
        <v>1379912.6017500001</v>
      </c>
      <c r="AS216" s="192">
        <f t="shared" si="474"/>
        <v>3318385.9539999999</v>
      </c>
      <c r="AT216" s="192">
        <f t="shared" si="474"/>
        <v>3318385.9539999999</v>
      </c>
      <c r="AU216" s="192">
        <f t="shared" si="474"/>
        <v>0</v>
      </c>
      <c r="AV216" s="192">
        <f t="shared" si="474"/>
        <v>0</v>
      </c>
      <c r="AW216" s="192">
        <f t="shared" si="474"/>
        <v>0</v>
      </c>
      <c r="AX216" s="192">
        <f t="shared" si="474"/>
        <v>0</v>
      </c>
      <c r="AY216" s="192">
        <f t="shared" si="474"/>
        <v>3318385.9539999999</v>
      </c>
      <c r="AZ216" s="192">
        <f t="shared" si="474"/>
        <v>3318385.9539999999</v>
      </c>
      <c r="BA216" s="192">
        <f t="shared" si="474"/>
        <v>0</v>
      </c>
      <c r="BB216" s="192">
        <f t="shared" si="474"/>
        <v>3312719.4479999999</v>
      </c>
      <c r="BC216" s="192">
        <f t="shared" si="474"/>
        <v>3312719.4479999999</v>
      </c>
      <c r="BD216" s="192">
        <f t="shared" si="474"/>
        <v>0</v>
      </c>
      <c r="BE216" s="192">
        <f t="shared" si="474"/>
        <v>0</v>
      </c>
      <c r="BF216" s="192">
        <f t="shared" si="474"/>
        <v>0</v>
      </c>
      <c r="BG216" s="192">
        <f t="shared" si="474"/>
        <v>0</v>
      </c>
      <c r="BH216" s="192">
        <f t="shared" si="474"/>
        <v>3318385.9539999999</v>
      </c>
      <c r="BI216" s="192">
        <f t="shared" si="474"/>
        <v>3318385.9539999999</v>
      </c>
      <c r="BJ216" s="192">
        <f t="shared" si="474"/>
        <v>0</v>
      </c>
      <c r="BK216" s="192">
        <f t="shared" si="474"/>
        <v>2</v>
      </c>
      <c r="BL216" s="192">
        <f t="shared" si="474"/>
        <v>3318385.9539999999</v>
      </c>
      <c r="BM216" s="192">
        <f t="shared" si="474"/>
        <v>1691327.73172</v>
      </c>
      <c r="BN216" s="192">
        <f t="shared" si="474"/>
        <v>1691327.73172</v>
      </c>
      <c r="BO216" s="192">
        <f t="shared" si="474"/>
        <v>0</v>
      </c>
      <c r="BP216" s="192">
        <f t="shared" si="474"/>
        <v>0</v>
      </c>
      <c r="BQ216" s="192">
        <f t="shared" si="474"/>
        <v>0</v>
      </c>
      <c r="BR216" s="192">
        <f t="shared" si="474"/>
        <v>0</v>
      </c>
      <c r="BS216" s="192">
        <f t="shared" si="474"/>
        <v>1627058.2222800001</v>
      </c>
      <c r="BT216" s="192">
        <f t="shared" si="474"/>
        <v>1627058.2222800001</v>
      </c>
      <c r="BU216" s="192">
        <f t="shared" si="474"/>
        <v>0</v>
      </c>
      <c r="BV216" s="192">
        <f t="shared" si="474"/>
        <v>3318385.9539999999</v>
      </c>
      <c r="BW216" s="192">
        <f t="shared" si="474"/>
        <v>3318385.9539999999</v>
      </c>
      <c r="BX216" s="192">
        <f t="shared" si="474"/>
        <v>0</v>
      </c>
      <c r="BY216" s="192">
        <f t="shared" si="474"/>
        <v>-428451.01500000013</v>
      </c>
      <c r="BZ216" s="192">
        <f t="shared" si="474"/>
        <v>-428451.01500000013</v>
      </c>
      <c r="CA216" s="192">
        <f t="shared" si="474"/>
        <v>0</v>
      </c>
      <c r="CB216" s="192">
        <f t="shared" ref="CB216:CB221" si="475">CC216+CD216</f>
        <v>2928934.9389999998</v>
      </c>
      <c r="CC216" s="192">
        <f>CC217+CC220+CC221</f>
        <v>2928934.9389999998</v>
      </c>
      <c r="CD216" s="192">
        <f>CD217+CD221</f>
        <v>0</v>
      </c>
      <c r="CE216" s="192">
        <v>1</v>
      </c>
      <c r="CF216" s="153">
        <f>BV216</f>
        <v>3318385.9539999999</v>
      </c>
      <c r="CG216" s="192"/>
      <c r="CH216" s="192">
        <f t="shared" ref="CH216:CM216" si="476">CH217+CH221</f>
        <v>3484305.2517000004</v>
      </c>
      <c r="CI216" s="192">
        <f t="shared" si="476"/>
        <v>3484305.2517000004</v>
      </c>
      <c r="CJ216" s="192">
        <f t="shared" si="476"/>
        <v>0</v>
      </c>
      <c r="CK216" s="192">
        <f t="shared" si="476"/>
        <v>0</v>
      </c>
      <c r="CL216" s="192">
        <f t="shared" si="476"/>
        <v>0</v>
      </c>
      <c r="CM216" s="192">
        <f t="shared" si="476"/>
        <v>0</v>
      </c>
      <c r="CN216" s="192" t="e">
        <f>CO216</f>
        <v>#REF!</v>
      </c>
      <c r="CO216" s="192" t="e">
        <f>CO217</f>
        <v>#REF!</v>
      </c>
      <c r="CP216" s="192">
        <f t="shared" ref="CP216:CV216" si="477">CP217+CP221</f>
        <v>0</v>
      </c>
      <c r="CQ216" s="192" t="e">
        <f t="shared" si="477"/>
        <v>#REF!</v>
      </c>
      <c r="CR216" s="192" t="e">
        <f t="shared" si="477"/>
        <v>#REF!</v>
      </c>
      <c r="CS216" s="192">
        <f t="shared" si="477"/>
        <v>0</v>
      </c>
      <c r="CT216" s="192">
        <f t="shared" si="477"/>
        <v>116392.97878</v>
      </c>
      <c r="CU216" s="192">
        <f t="shared" si="477"/>
        <v>116392.97878</v>
      </c>
      <c r="CV216" s="192">
        <f t="shared" si="477"/>
        <v>0</v>
      </c>
      <c r="CW216" s="192">
        <f t="shared" ref="CW216:CW221" si="478">CX216+CY216</f>
        <v>2991615.2853899999</v>
      </c>
      <c r="CX216" s="192">
        <f>CX217+CX220+CX221</f>
        <v>2991615.2853899999</v>
      </c>
      <c r="CY216" s="192">
        <f>CY217+CY221</f>
        <v>0</v>
      </c>
      <c r="CZ216" s="192">
        <f>DA216+DB216</f>
        <v>2965843.9517000001</v>
      </c>
      <c r="DA216" s="192">
        <f>DA217+DA220+DA221</f>
        <v>2965843.9517000001</v>
      </c>
      <c r="DB216" s="192">
        <f>DB217+DB221</f>
        <v>0</v>
      </c>
      <c r="DC216" s="192"/>
      <c r="DD216" s="192"/>
      <c r="DE216" s="192"/>
      <c r="DF216" s="192" t="e">
        <f t="shared" ref="DF216:DF224" si="479">DG216+DH216</f>
        <v>#REF!</v>
      </c>
      <c r="DG216" s="192" t="e">
        <f>DG217+DG220+DG221</f>
        <v>#REF!</v>
      </c>
      <c r="DH216" s="192">
        <f>DH217+DH221</f>
        <v>0</v>
      </c>
      <c r="DI216" s="192" t="e">
        <f t="shared" ref="DI216:DI221" si="480">DJ216+DK216</f>
        <v>#REF!</v>
      </c>
      <c r="DJ216" s="192" t="e">
        <f>DJ217+DJ220+DJ221</f>
        <v>#REF!</v>
      </c>
      <c r="DK216" s="192">
        <f>DK217+DK221</f>
        <v>0</v>
      </c>
      <c r="DL216" s="192">
        <f t="shared" ref="DL216:DL224" si="481">DM216+DN216</f>
        <v>1769224.6309400001</v>
      </c>
      <c r="DM216" s="192">
        <f>DM217+DM220+DM221</f>
        <v>1769224.6309400001</v>
      </c>
      <c r="DN216" s="192">
        <f>DN217+DN221</f>
        <v>0</v>
      </c>
      <c r="DO216" s="192">
        <f t="shared" ref="DO216:DO221" si="482">DP216+DQ216</f>
        <v>996735.01239000005</v>
      </c>
      <c r="DP216" s="192">
        <f>DP217+DP220+DP221</f>
        <v>996735.01239000005</v>
      </c>
      <c r="DQ216" s="192">
        <f>DQ217+DQ221</f>
        <v>0</v>
      </c>
      <c r="DR216" s="192" t="e">
        <f t="shared" ref="DR216:DR224" si="483">DS216+DT216</f>
        <v>#REF!</v>
      </c>
      <c r="DS216" s="192" t="e">
        <f>DS217+DS220+DS221</f>
        <v>#REF!</v>
      </c>
      <c r="DT216" s="192">
        <f>DT217+DT221</f>
        <v>0</v>
      </c>
      <c r="DU216" s="192">
        <f>DV216+DW216</f>
        <v>2965843.9516999996</v>
      </c>
      <c r="DV216" s="192">
        <f>DV217+DV220+DV221</f>
        <v>2965843.9516999996</v>
      </c>
      <c r="DW216" s="192">
        <f>DW217+DW221</f>
        <v>0</v>
      </c>
      <c r="DX216" s="192">
        <f>DY216+DZ216</f>
        <v>3068471.4634199999</v>
      </c>
      <c r="DY216" s="192">
        <f>DY217+DY220+DY221</f>
        <v>3068471.4634199999</v>
      </c>
      <c r="DZ216" s="192">
        <f>DZ217+DZ221</f>
        <v>0</v>
      </c>
      <c r="EA216" s="192"/>
      <c r="EB216" s="192"/>
      <c r="EC216" s="192"/>
      <c r="ED216" s="192">
        <f t="shared" ref="ED216:ED221" si="484">EE216+EF216</f>
        <v>410971.51172000024</v>
      </c>
      <c r="EE216" s="192">
        <f>EE217+EE220+EE221</f>
        <v>410971.51172000024</v>
      </c>
      <c r="EF216" s="192"/>
      <c r="EG216" s="192">
        <f t="shared" ref="EG216:EG229" si="485">EH216</f>
        <v>3391665.4634199999</v>
      </c>
      <c r="EH216" s="192">
        <f>EH217+EH220+EH221+EH223</f>
        <v>3391665.4634199999</v>
      </c>
      <c r="EI216" s="192"/>
      <c r="EJ216" s="192"/>
      <c r="EK216" s="192">
        <f>EL216+EM216+EN216</f>
        <v>-3391665.4634199999</v>
      </c>
      <c r="EL216" s="192">
        <f>EL217+EL220+EL221+EL223</f>
        <v>-3391665.4634199999</v>
      </c>
      <c r="EM216" s="192"/>
      <c r="EN216" s="192">
        <f>EN217+EN221</f>
        <v>0</v>
      </c>
      <c r="EO216" s="192">
        <f>EP216+EQ216+ER216</f>
        <v>0</v>
      </c>
      <c r="EP216" s="192">
        <f>EP217+EP220+EP221</f>
        <v>0</v>
      </c>
      <c r="EQ216" s="192"/>
      <c r="ER216" s="192">
        <f>ER217+ER221</f>
        <v>0</v>
      </c>
      <c r="ES216" s="192">
        <f t="shared" ref="ES216:ES223" si="486">ET216+EU216+EV216</f>
        <v>0</v>
      </c>
      <c r="ET216" s="192">
        <f>ET217+ET220+ET221+ET223</f>
        <v>0</v>
      </c>
      <c r="EU216" s="192"/>
      <c r="EV216" s="192"/>
      <c r="EW216" s="192">
        <f>EX216+EY216</f>
        <v>3068471.4634199999</v>
      </c>
      <c r="EX216" s="192">
        <f>EX217+EX220+EX221</f>
        <v>3068471.4634199999</v>
      </c>
      <c r="EY216" s="192">
        <f>EY217+EY221</f>
        <v>0</v>
      </c>
      <c r="EZ216" s="192">
        <f t="shared" ref="EZ216:EZ221" si="487">FA216+FB216</f>
        <v>257951.96305999951</v>
      </c>
      <c r="FA216" s="192">
        <f>FA217+FA220+FA221</f>
        <v>257951.96305999951</v>
      </c>
      <c r="FB216" s="192"/>
      <c r="FC216" s="201">
        <f>FD216+FE216+FF216</f>
        <v>3342451.6764799999</v>
      </c>
      <c r="FD216" s="152">
        <f>FD217+FD220+FD221+FD222+FD223</f>
        <v>3342451.6764799999</v>
      </c>
      <c r="FE216" s="201"/>
      <c r="FF216" s="201"/>
      <c r="FG216" s="287">
        <f>FH216+FI216+FJ216</f>
        <v>-99213.78694000002</v>
      </c>
      <c r="FH216" s="287">
        <f>FH217+FH220+FH221+FH223</f>
        <v>-99213.78694000002</v>
      </c>
      <c r="FI216" s="201"/>
      <c r="FJ216" s="201">
        <f>FJ217+FJ221</f>
        <v>0</v>
      </c>
      <c r="FK216" s="201">
        <f>FL216+FM216+FN216</f>
        <v>0</v>
      </c>
      <c r="FL216" s="201">
        <f>FL217+FL220+FL221</f>
        <v>0</v>
      </c>
      <c r="FM216" s="201"/>
      <c r="FN216" s="201">
        <f>FN217+FN221</f>
        <v>0</v>
      </c>
      <c r="FO216" s="201">
        <f t="shared" ref="FO216:FO229" si="488">FP216</f>
        <v>3241242.8895400004</v>
      </c>
      <c r="FP216" s="201">
        <f>FP217+FP220+FP221+FP223</f>
        <v>3241242.8895400004</v>
      </c>
      <c r="FQ216" s="201"/>
      <c r="FR216" s="201"/>
      <c r="FS216" s="201">
        <f>FU216</f>
        <v>2426250.4647600004</v>
      </c>
      <c r="FT216" s="574">
        <f>FS216/FC216</f>
        <v>0.72588946665494691</v>
      </c>
      <c r="FU216" s="201">
        <f>FU217+FU220+FU221+FU222+FU223</f>
        <v>2426250.4647600004</v>
      </c>
      <c r="FV216" s="574">
        <f>FU216/FD216</f>
        <v>0.72588946665494691</v>
      </c>
      <c r="FW216" s="658"/>
      <c r="FX216" s="192"/>
      <c r="FY216" s="658"/>
      <c r="FZ216" s="192"/>
      <c r="GA216" s="201">
        <f t="shared" si="467"/>
        <v>2411018.8624700001</v>
      </c>
      <c r="GB216" s="574">
        <f>GA216/FC216</f>
        <v>0.72133245169578353</v>
      </c>
      <c r="GC216" s="201">
        <f>GC217+GC220+GC221+GC222+GC223</f>
        <v>2411018.8624700001</v>
      </c>
      <c r="GD216" s="574">
        <f>GC216/FD216</f>
        <v>0.72133245169578353</v>
      </c>
      <c r="GE216" s="152"/>
      <c r="GF216" s="192"/>
      <c r="GG216" s="152"/>
      <c r="GH216" s="192"/>
      <c r="GI216" s="201">
        <f t="shared" si="468"/>
        <v>3283070.5334700001</v>
      </c>
      <c r="GJ216" s="574">
        <f t="shared" si="471"/>
        <v>0.98223425534380948</v>
      </c>
      <c r="GK216" s="152">
        <f>GK217+GK220+GK221+GK222+GK223</f>
        <v>3283070.5334700001</v>
      </c>
      <c r="GL216" s="574">
        <f t="shared" si="472"/>
        <v>0.98223425534380948</v>
      </c>
      <c r="GM216" s="152"/>
      <c r="GN216" s="574"/>
      <c r="GO216" s="152"/>
      <c r="GP216" s="574"/>
      <c r="GQ216" s="192"/>
      <c r="GR216" s="192"/>
      <c r="GS216" s="192"/>
      <c r="GT216" s="192"/>
      <c r="GU216" s="192">
        <f t="shared" ref="GU216:GU229" si="489">GV216</f>
        <v>3412444.3669000003</v>
      </c>
      <c r="GV216" s="192">
        <f>GV217+GV220+GV221</f>
        <v>3412444.3669000003</v>
      </c>
      <c r="GW216" s="192"/>
      <c r="GX216" s="192"/>
      <c r="GY216" s="192"/>
      <c r="GZ216" s="192"/>
      <c r="HA216" s="192"/>
      <c r="HB216" s="192"/>
      <c r="HC216" s="192"/>
      <c r="HD216" s="192"/>
      <c r="HE216" s="192"/>
      <c r="HF216" s="192"/>
      <c r="HG216" s="192">
        <f t="shared" ref="HG216:HG221" si="490">HH216</f>
        <v>0</v>
      </c>
      <c r="HH216" s="192">
        <f>HH217+HH220+HH221</f>
        <v>0</v>
      </c>
      <c r="HI216" s="192"/>
      <c r="HJ216" s="192"/>
      <c r="HK216" s="192">
        <f t="shared" ref="HK216:HK229" si="491">HL216</f>
        <v>0</v>
      </c>
      <c r="HL216" s="192">
        <f>HL217+HL220+HL221</f>
        <v>0</v>
      </c>
      <c r="HM216" s="192"/>
      <c r="HN216" s="192"/>
      <c r="HO216" s="192">
        <f t="shared" ref="HO216:HO229" si="492">HP216</f>
        <v>3412444.3669000003</v>
      </c>
      <c r="HP216" s="192">
        <f>HP217+HP220+HP221</f>
        <v>3412444.3669000003</v>
      </c>
      <c r="HQ216" s="192"/>
      <c r="HR216" s="192"/>
      <c r="HS216" s="192">
        <f t="shared" ref="HS216:HS229" si="493">HT216</f>
        <v>2907294.9979400001</v>
      </c>
      <c r="HT216" s="192">
        <f>HT217+HT220+HT221</f>
        <v>2907294.9979400001</v>
      </c>
      <c r="HU216" s="192"/>
      <c r="HV216" s="192"/>
      <c r="HW216" s="192">
        <f t="shared" ref="HW216:HW229" si="494">HX216</f>
        <v>0</v>
      </c>
      <c r="HX216" s="192">
        <f>HX217+HX220+HX221</f>
        <v>0</v>
      </c>
      <c r="HY216" s="192"/>
      <c r="HZ216" s="192"/>
      <c r="IA216" s="192">
        <f t="shared" ref="IA216:IA229" si="495">IB216</f>
        <v>2907294.9979400001</v>
      </c>
      <c r="IB216" s="192">
        <f>IB217+IB220+IB221</f>
        <v>2907294.9979400001</v>
      </c>
      <c r="IC216" s="192"/>
      <c r="ID216" s="192"/>
      <c r="IE216" s="244" t="s">
        <v>311</v>
      </c>
      <c r="IF216" s="245"/>
      <c r="IG216" s="245"/>
      <c r="IH216" s="245"/>
    </row>
    <row r="217" spans="1:249" s="171" customFormat="1" ht="30" hidden="1" customHeight="1" x14ac:dyDescent="0.25">
      <c r="B217" s="160"/>
      <c r="C217" s="174" t="s">
        <v>312</v>
      </c>
      <c r="D217" s="174"/>
      <c r="E217" s="164">
        <f>G217</f>
        <v>69761.855819999997</v>
      </c>
      <c r="F217" s="164">
        <f>F218+F219</f>
        <v>2396218.0231699999</v>
      </c>
      <c r="G217" s="164">
        <f>G218+G219</f>
        <v>69761.855819999997</v>
      </c>
      <c r="H217" s="164">
        <f>J217</f>
        <v>0</v>
      </c>
      <c r="I217" s="164">
        <f>I218+I219</f>
        <v>0</v>
      </c>
      <c r="J217" s="164">
        <f>J218+J219</f>
        <v>0</v>
      </c>
      <c r="K217" s="164">
        <f>M217</f>
        <v>69761.855819999997</v>
      </c>
      <c r="L217" s="164">
        <f>L218+L219</f>
        <v>2396218.0231699999</v>
      </c>
      <c r="M217" s="164">
        <f>M218+M219</f>
        <v>69761.855819999997</v>
      </c>
      <c r="N217" s="164">
        <f>P217</f>
        <v>0</v>
      </c>
      <c r="O217" s="164">
        <f>O218+O219</f>
        <v>0</v>
      </c>
      <c r="P217" s="164">
        <f>P218+P219</f>
        <v>0</v>
      </c>
      <c r="Q217" s="164">
        <f>S217</f>
        <v>69761.855819999997</v>
      </c>
      <c r="R217" s="164">
        <f>R218+R219</f>
        <v>2396218.0231699999</v>
      </c>
      <c r="S217" s="164">
        <f>S218+S219</f>
        <v>69761.855819999997</v>
      </c>
      <c r="T217" s="164">
        <f>V217</f>
        <v>2857854.023</v>
      </c>
      <c r="U217" s="164">
        <f t="shared" ref="U217:AN217" si="496">U218+U219</f>
        <v>0</v>
      </c>
      <c r="V217" s="164">
        <f t="shared" si="496"/>
        <v>2857854.023</v>
      </c>
      <c r="W217" s="164">
        <f t="shared" si="496"/>
        <v>-81124.28694000002</v>
      </c>
      <c r="X217" s="164">
        <f t="shared" si="496"/>
        <v>2776729.73606</v>
      </c>
      <c r="Y217" s="164">
        <f t="shared" si="496"/>
        <v>-2857854.023</v>
      </c>
      <c r="Z217" s="164">
        <f t="shared" si="496"/>
        <v>2776729.73606</v>
      </c>
      <c r="AA217" s="164">
        <f t="shared" si="496"/>
        <v>2776729.73606</v>
      </c>
      <c r="AB217" s="164">
        <f t="shared" si="496"/>
        <v>0</v>
      </c>
      <c r="AC217" s="164">
        <f t="shared" si="496"/>
        <v>0</v>
      </c>
      <c r="AD217" s="164">
        <f t="shared" si="496"/>
        <v>0</v>
      </c>
      <c r="AE217" s="164">
        <f t="shared" si="496"/>
        <v>0</v>
      </c>
      <c r="AF217" s="164">
        <f t="shared" si="496"/>
        <v>2776729.73606</v>
      </c>
      <c r="AG217" s="164">
        <f t="shared" si="496"/>
        <v>2776729.73606</v>
      </c>
      <c r="AH217" s="164">
        <f t="shared" si="496"/>
        <v>0</v>
      </c>
      <c r="AI217" s="164">
        <f t="shared" si="496"/>
        <v>0</v>
      </c>
      <c r="AJ217" s="164">
        <f t="shared" si="496"/>
        <v>1412554.6367500001</v>
      </c>
      <c r="AK217" s="164">
        <f t="shared" si="496"/>
        <v>1364175.09931</v>
      </c>
      <c r="AL217" s="164">
        <f t="shared" si="496"/>
        <v>1364175.09931</v>
      </c>
      <c r="AM217" s="164">
        <f t="shared" si="496"/>
        <v>0</v>
      </c>
      <c r="AN217" s="164">
        <f t="shared" si="496"/>
        <v>0</v>
      </c>
      <c r="AO217" s="164">
        <v>1</v>
      </c>
      <c r="AP217" s="164">
        <f t="shared" ref="AP217:BJ217" si="497">AP218+AP219</f>
        <v>1434782.70954</v>
      </c>
      <c r="AQ217" s="164">
        <f t="shared" si="497"/>
        <v>0</v>
      </c>
      <c r="AR217" s="164">
        <f t="shared" si="497"/>
        <v>1341947.0265200001</v>
      </c>
      <c r="AS217" s="164">
        <f t="shared" si="497"/>
        <v>3129786.5060000001</v>
      </c>
      <c r="AT217" s="164">
        <f t="shared" si="497"/>
        <v>3129786.5060000001</v>
      </c>
      <c r="AU217" s="164">
        <f t="shared" si="497"/>
        <v>0</v>
      </c>
      <c r="AV217" s="164">
        <f t="shared" si="497"/>
        <v>0</v>
      </c>
      <c r="AW217" s="164">
        <f t="shared" si="497"/>
        <v>0</v>
      </c>
      <c r="AX217" s="164">
        <f t="shared" si="497"/>
        <v>0</v>
      </c>
      <c r="AY217" s="164">
        <f t="shared" si="497"/>
        <v>3129786.5060000001</v>
      </c>
      <c r="AZ217" s="164">
        <f t="shared" si="497"/>
        <v>3129786.5060000001</v>
      </c>
      <c r="BA217" s="164">
        <f t="shared" si="497"/>
        <v>0</v>
      </c>
      <c r="BB217" s="164">
        <f t="shared" si="497"/>
        <v>3124120</v>
      </c>
      <c r="BC217" s="164">
        <f t="shared" si="497"/>
        <v>3124120</v>
      </c>
      <c r="BD217" s="164">
        <f t="shared" si="497"/>
        <v>0</v>
      </c>
      <c r="BE217" s="164">
        <f t="shared" si="497"/>
        <v>0</v>
      </c>
      <c r="BF217" s="164">
        <f t="shared" si="497"/>
        <v>0</v>
      </c>
      <c r="BG217" s="164">
        <f t="shared" si="497"/>
        <v>0</v>
      </c>
      <c r="BH217" s="164">
        <f t="shared" si="497"/>
        <v>3129786.5060000001</v>
      </c>
      <c r="BI217" s="164">
        <f t="shared" si="497"/>
        <v>3129786.5060000001</v>
      </c>
      <c r="BJ217" s="164">
        <f t="shared" si="497"/>
        <v>0</v>
      </c>
      <c r="BK217" s="164">
        <v>1</v>
      </c>
      <c r="BL217" s="144">
        <f>AY217</f>
        <v>3129786.5060000001</v>
      </c>
      <c r="BM217" s="164">
        <f>BM218+BM219</f>
        <v>1691327.73172</v>
      </c>
      <c r="BN217" s="164">
        <f>BN218</f>
        <v>1691327.73172</v>
      </c>
      <c r="BO217" s="164">
        <f t="shared" ref="BO217:CA217" si="498">BO218+BO219</f>
        <v>0</v>
      </c>
      <c r="BP217" s="164">
        <f t="shared" si="498"/>
        <v>0</v>
      </c>
      <c r="BQ217" s="164">
        <f t="shared" si="498"/>
        <v>0</v>
      </c>
      <c r="BR217" s="164">
        <f t="shared" si="498"/>
        <v>0</v>
      </c>
      <c r="BS217" s="164">
        <f t="shared" si="498"/>
        <v>1438458.77428</v>
      </c>
      <c r="BT217" s="164">
        <f t="shared" si="498"/>
        <v>1438458.77428</v>
      </c>
      <c r="BU217" s="164">
        <f t="shared" si="498"/>
        <v>0</v>
      </c>
      <c r="BV217" s="164">
        <f t="shared" si="498"/>
        <v>3129786.5060000001</v>
      </c>
      <c r="BW217" s="164">
        <f t="shared" si="498"/>
        <v>3129786.5060000001</v>
      </c>
      <c r="BX217" s="164">
        <f t="shared" si="498"/>
        <v>0</v>
      </c>
      <c r="BY217" s="164">
        <f t="shared" si="498"/>
        <v>-289451.01500000013</v>
      </c>
      <c r="BZ217" s="164">
        <f t="shared" si="498"/>
        <v>-289451.01500000013</v>
      </c>
      <c r="CA217" s="164">
        <f t="shared" si="498"/>
        <v>0</v>
      </c>
      <c r="CB217" s="164">
        <f t="shared" si="475"/>
        <v>2840335.4909999999</v>
      </c>
      <c r="CC217" s="164">
        <f>CC218+CC219</f>
        <v>2840335.4909999999</v>
      </c>
      <c r="CD217" s="164">
        <f>CD218+CD219</f>
        <v>0</v>
      </c>
      <c r="CE217" s="164">
        <v>1</v>
      </c>
      <c r="CF217" s="144">
        <f>BV217</f>
        <v>3129786.5060000001</v>
      </c>
      <c r="CG217" s="164"/>
      <c r="CH217" s="164">
        <f t="shared" ref="CH217:CM217" si="499">CH218+CH219</f>
        <v>3286275.8313000002</v>
      </c>
      <c r="CI217" s="164">
        <f t="shared" si="499"/>
        <v>3286275.8313000002</v>
      </c>
      <c r="CJ217" s="164">
        <f t="shared" si="499"/>
        <v>0</v>
      </c>
      <c r="CK217" s="164">
        <f t="shared" si="499"/>
        <v>0</v>
      </c>
      <c r="CL217" s="164">
        <f t="shared" si="499"/>
        <v>0</v>
      </c>
      <c r="CM217" s="164">
        <f t="shared" si="499"/>
        <v>0</v>
      </c>
      <c r="CN217" s="164" t="e">
        <f>CO217</f>
        <v>#REF!</v>
      </c>
      <c r="CO217" s="164" t="e">
        <f>CO218</f>
        <v>#REF!</v>
      </c>
      <c r="CP217" s="164"/>
      <c r="CQ217" s="164" t="e">
        <f>CQ218+CQ219</f>
        <v>#REF!</v>
      </c>
      <c r="CR217" s="164" t="e">
        <f>CR218+CR219</f>
        <v>#REF!</v>
      </c>
      <c r="CS217" s="164">
        <f>CS218+CS219</f>
        <v>0</v>
      </c>
      <c r="CT217" s="164">
        <f>CU217</f>
        <v>116392.97878</v>
      </c>
      <c r="CU217" s="164">
        <f>CX217-CC217</f>
        <v>116392.97878</v>
      </c>
      <c r="CV217" s="164">
        <f>CV218+CV219</f>
        <v>0</v>
      </c>
      <c r="CW217" s="164">
        <f t="shared" si="478"/>
        <v>2956728.4697799999</v>
      </c>
      <c r="CX217" s="164">
        <f>CX218+CX219</f>
        <v>2956728.4697799999</v>
      </c>
      <c r="CY217" s="164">
        <f>CY218+CY219</f>
        <v>0</v>
      </c>
      <c r="CZ217" s="164">
        <f>CZ218+CZ219</f>
        <v>2876814.5317000002</v>
      </c>
      <c r="DA217" s="164">
        <f>DA218+DA219</f>
        <v>2876814.5317000002</v>
      </c>
      <c r="DB217" s="164">
        <f>DB218+DB219</f>
        <v>0</v>
      </c>
      <c r="DC217" s="164"/>
      <c r="DD217" s="164"/>
      <c r="DE217" s="164"/>
      <c r="DF217" s="164" t="e">
        <f t="shared" si="479"/>
        <v>#REF!</v>
      </c>
      <c r="DG217" s="164" t="e">
        <f>DG218+DG219+DG223</f>
        <v>#REF!</v>
      </c>
      <c r="DH217" s="164">
        <f>DH218+DH219</f>
        <v>0</v>
      </c>
      <c r="DI217" s="164" t="e">
        <f t="shared" si="480"/>
        <v>#REF!</v>
      </c>
      <c r="DJ217" s="164" t="e">
        <f>DJ218+DJ219+DJ223</f>
        <v>#REF!</v>
      </c>
      <c r="DK217" s="164">
        <f>DK218+DK219</f>
        <v>0</v>
      </c>
      <c r="DL217" s="164">
        <f t="shared" si="481"/>
        <v>1766624.64552</v>
      </c>
      <c r="DM217" s="164">
        <f>DM218+DM219</f>
        <v>1766624.64552</v>
      </c>
      <c r="DN217" s="164">
        <f>DN218+DN219</f>
        <v>0</v>
      </c>
      <c r="DO217" s="164">
        <f t="shared" si="482"/>
        <v>974471.54422000004</v>
      </c>
      <c r="DP217" s="164">
        <f>DP218+DP219</f>
        <v>974471.54422000004</v>
      </c>
      <c r="DQ217" s="164">
        <f>DQ218+DQ219</f>
        <v>0</v>
      </c>
      <c r="DR217" s="164" t="e">
        <f t="shared" si="483"/>
        <v>#REF!</v>
      </c>
      <c r="DS217" s="164" t="e">
        <f>DS218+DS219+DS223</f>
        <v>#REF!</v>
      </c>
      <c r="DT217" s="164">
        <f t="shared" ref="DT217:DZ217" si="500">DT218+DT219</f>
        <v>0</v>
      </c>
      <c r="DU217" s="164">
        <f t="shared" si="500"/>
        <v>2915078.2927799998</v>
      </c>
      <c r="DV217" s="164">
        <f t="shared" si="500"/>
        <v>2915078.2927799998</v>
      </c>
      <c r="DW217" s="164">
        <f t="shared" si="500"/>
        <v>0</v>
      </c>
      <c r="DX217" s="164">
        <f t="shared" si="500"/>
        <v>2978971.4634199999</v>
      </c>
      <c r="DY217" s="164">
        <f t="shared" si="500"/>
        <v>2978971.4634199999</v>
      </c>
      <c r="DZ217" s="164">
        <f t="shared" si="500"/>
        <v>0</v>
      </c>
      <c r="EA217" s="164"/>
      <c r="EB217" s="164"/>
      <c r="EC217" s="164"/>
      <c r="ED217" s="164">
        <f t="shared" si="484"/>
        <v>391090.09317000024</v>
      </c>
      <c r="EE217" s="164">
        <f>EE218+EE219</f>
        <v>391090.09317000024</v>
      </c>
      <c r="EF217" s="164"/>
      <c r="EG217" s="164">
        <f t="shared" si="485"/>
        <v>3306168.38595</v>
      </c>
      <c r="EH217" s="164">
        <f>EH218+EH219</f>
        <v>3306168.38595</v>
      </c>
      <c r="EI217" s="164"/>
      <c r="EJ217" s="164"/>
      <c r="EK217" s="164">
        <f>EK218+EK219</f>
        <v>-3306168.38595</v>
      </c>
      <c r="EL217" s="164">
        <f>EL218+EL219</f>
        <v>-3306168.38595</v>
      </c>
      <c r="EM217" s="164"/>
      <c r="EN217" s="164">
        <f>EN218+EN219</f>
        <v>0</v>
      </c>
      <c r="EO217" s="164">
        <f>EO218+EO219</f>
        <v>0</v>
      </c>
      <c r="EP217" s="164"/>
      <c r="EQ217" s="164"/>
      <c r="ER217" s="164"/>
      <c r="ES217" s="164">
        <f t="shared" si="486"/>
        <v>0</v>
      </c>
      <c r="ET217" s="164">
        <f>ET218+ET219</f>
        <v>0</v>
      </c>
      <c r="EU217" s="164"/>
      <c r="EV217" s="164"/>
      <c r="EW217" s="164">
        <f>EW218+EW219</f>
        <v>3006824.38595</v>
      </c>
      <c r="EX217" s="164">
        <f>EX218+EX219</f>
        <v>3006824.38595</v>
      </c>
      <c r="EY217" s="164">
        <f>EY218+EY219</f>
        <v>0</v>
      </c>
      <c r="EZ217" s="164">
        <f t="shared" si="487"/>
        <v>219884.52292999951</v>
      </c>
      <c r="FA217" s="164">
        <f>FA218+FA219</f>
        <v>219884.52292999951</v>
      </c>
      <c r="FB217" s="164"/>
      <c r="FC217" s="163">
        <f t="shared" ref="FC217:FC229" si="501">FD217</f>
        <v>3226708.90888</v>
      </c>
      <c r="FD217" s="163">
        <f>FD218+FD219</f>
        <v>3226708.90888</v>
      </c>
      <c r="FE217" s="163"/>
      <c r="FF217" s="163"/>
      <c r="FG217" s="163">
        <f t="shared" ref="FG217:FG223" si="502">FH217+FJ217</f>
        <v>-99769.558680000016</v>
      </c>
      <c r="FH217" s="163">
        <f>FH218+FH219</f>
        <v>-99769.558680000016</v>
      </c>
      <c r="FI217" s="163"/>
      <c r="FJ217" s="163">
        <f>FJ218+FJ219</f>
        <v>0</v>
      </c>
      <c r="FK217" s="163">
        <f>FK218+FK219</f>
        <v>0</v>
      </c>
      <c r="FL217" s="163"/>
      <c r="FM217" s="163"/>
      <c r="FN217" s="163"/>
      <c r="FO217" s="163">
        <f t="shared" si="488"/>
        <v>3126939.3502000002</v>
      </c>
      <c r="FP217" s="163">
        <f>FP218+FP219</f>
        <v>3126939.3502000002</v>
      </c>
      <c r="FQ217" s="163"/>
      <c r="FR217" s="163"/>
      <c r="FS217" s="163">
        <f>FU217</f>
        <v>2394474.0054900004</v>
      </c>
      <c r="FT217" s="575">
        <f>FS217/FC217</f>
        <v>0.74207933628606404</v>
      </c>
      <c r="FU217" s="163">
        <f>FU218+FU219</f>
        <v>2394474.0054900004</v>
      </c>
      <c r="FV217" s="575">
        <f>FU217/FD217</f>
        <v>0.74207933628606404</v>
      </c>
      <c r="FW217" s="164"/>
      <c r="FX217" s="164"/>
      <c r="FY217" s="164"/>
      <c r="FZ217" s="164"/>
      <c r="GA217" s="163">
        <f t="shared" si="467"/>
        <v>2381987.8299099999</v>
      </c>
      <c r="GB217" s="575">
        <f t="shared" ref="GB217:GB223" si="503">GA217/FC217</f>
        <v>0.73820970443125433</v>
      </c>
      <c r="GC217" s="163">
        <f>GC218+GC219</f>
        <v>2381987.8299099999</v>
      </c>
      <c r="GD217" s="575">
        <f t="shared" ref="GD217:GD223" si="504">GC217/FD217</f>
        <v>0.73820970443125433</v>
      </c>
      <c r="GE217" s="163"/>
      <c r="GF217" s="164"/>
      <c r="GG217" s="163"/>
      <c r="GH217" s="164"/>
      <c r="GI217" s="163">
        <f t="shared" si="468"/>
        <v>3207338.9678700003</v>
      </c>
      <c r="GJ217" s="575">
        <f t="shared" si="471"/>
        <v>0.99399699769734629</v>
      </c>
      <c r="GK217" s="163">
        <f>GK218+GK219</f>
        <v>3207338.9678700003</v>
      </c>
      <c r="GL217" s="575">
        <f t="shared" si="472"/>
        <v>0.99399699769734629</v>
      </c>
      <c r="GM217" s="163"/>
      <c r="GN217" s="575"/>
      <c r="GO217" s="163"/>
      <c r="GP217" s="575"/>
      <c r="GQ217" s="164"/>
      <c r="GR217" s="164"/>
      <c r="GS217" s="164"/>
      <c r="GT217" s="164"/>
      <c r="GU217" s="164">
        <f t="shared" si="489"/>
        <v>3344441.0530900001</v>
      </c>
      <c r="GV217" s="164">
        <f>GV218+GV219</f>
        <v>3344441.0530900001</v>
      </c>
      <c r="GW217" s="164"/>
      <c r="GX217" s="164"/>
      <c r="GY217" s="164"/>
      <c r="GZ217" s="164"/>
      <c r="HA217" s="164"/>
      <c r="HB217" s="164"/>
      <c r="HC217" s="164"/>
      <c r="HD217" s="164"/>
      <c r="HE217" s="164"/>
      <c r="HF217" s="164"/>
      <c r="HG217" s="164">
        <f t="shared" si="490"/>
        <v>0</v>
      </c>
      <c r="HH217" s="164">
        <f>HH218+HH219</f>
        <v>0</v>
      </c>
      <c r="HI217" s="164"/>
      <c r="HJ217" s="164"/>
      <c r="HK217" s="164">
        <f t="shared" si="491"/>
        <v>0</v>
      </c>
      <c r="HL217" s="164">
        <f>HL218+HL219</f>
        <v>0</v>
      </c>
      <c r="HM217" s="164"/>
      <c r="HN217" s="164"/>
      <c r="HO217" s="164">
        <f t="shared" si="492"/>
        <v>3344441.0530900001</v>
      </c>
      <c r="HP217" s="164">
        <f>HP218+HP219</f>
        <v>3344441.0530900001</v>
      </c>
      <c r="HQ217" s="164"/>
      <c r="HR217" s="164"/>
      <c r="HS217" s="164">
        <f t="shared" si="493"/>
        <v>2902565.32064</v>
      </c>
      <c r="HT217" s="164">
        <f>HT218+HT219</f>
        <v>2902565.32064</v>
      </c>
      <c r="HU217" s="164"/>
      <c r="HV217" s="164"/>
      <c r="HW217" s="164">
        <f t="shared" si="494"/>
        <v>0</v>
      </c>
      <c r="HX217" s="164">
        <f>HX218+HX219</f>
        <v>0</v>
      </c>
      <c r="HY217" s="164"/>
      <c r="HZ217" s="164"/>
      <c r="IA217" s="164">
        <f t="shared" si="495"/>
        <v>2902565.32064</v>
      </c>
      <c r="IB217" s="164">
        <f>IB218+IB219</f>
        <v>2902565.32064</v>
      </c>
      <c r="IC217" s="164"/>
      <c r="ID217" s="164"/>
      <c r="IE217" s="169"/>
      <c r="IF217" s="170"/>
      <c r="IG217" s="170"/>
      <c r="IH217" s="170"/>
    </row>
    <row r="218" spans="1:249" s="171" customFormat="1" ht="24.75" hidden="1" customHeight="1" x14ac:dyDescent="0.25">
      <c r="B218" s="160"/>
      <c r="C218" s="174" t="s">
        <v>313</v>
      </c>
      <c r="D218" s="174" t="s">
        <v>314</v>
      </c>
      <c r="E218" s="164">
        <f>F218+G218</f>
        <v>2250170.20297</v>
      </c>
      <c r="F218" s="164">
        <v>2250170.20297</v>
      </c>
      <c r="G218" s="164"/>
      <c r="H218" s="164">
        <f>I218+J218</f>
        <v>0</v>
      </c>
      <c r="I218" s="164">
        <f>L218-F218</f>
        <v>0</v>
      </c>
      <c r="J218" s="164">
        <f>M218-G218</f>
        <v>0</v>
      </c>
      <c r="K218" s="164">
        <f>L218+M218</f>
        <v>2250170.20297</v>
      </c>
      <c r="L218" s="164">
        <v>2250170.20297</v>
      </c>
      <c r="M218" s="164"/>
      <c r="N218" s="164">
        <f>O218+P218</f>
        <v>0</v>
      </c>
      <c r="O218" s="164">
        <f>R218-L218</f>
        <v>0</v>
      </c>
      <c r="P218" s="164">
        <f>S218-M218</f>
        <v>0</v>
      </c>
      <c r="Q218" s="164">
        <f>R218+S218</f>
        <v>2250170.20297</v>
      </c>
      <c r="R218" s="164">
        <v>2250170.20297</v>
      </c>
      <c r="S218" s="164"/>
      <c r="T218" s="164">
        <f>U218+V218</f>
        <v>2857854.023</v>
      </c>
      <c r="U218" s="164">
        <v>0</v>
      </c>
      <c r="V218" s="164">
        <v>2857854.023</v>
      </c>
      <c r="W218" s="164">
        <f>X218+Y218</f>
        <v>-94733.853099999949</v>
      </c>
      <c r="X218" s="164">
        <f>AA218-U218</f>
        <v>2763120.1699000001</v>
      </c>
      <c r="Y218" s="164">
        <f>AB218-V218</f>
        <v>-2857854.023</v>
      </c>
      <c r="Z218" s="164">
        <f>AA218+AB218</f>
        <v>2763120.1699000001</v>
      </c>
      <c r="AA218" s="164">
        <v>2763120.1699000001</v>
      </c>
      <c r="AB218" s="164">
        <v>0</v>
      </c>
      <c r="AC218" s="164">
        <f>AD218+AE218</f>
        <v>0</v>
      </c>
      <c r="AD218" s="164">
        <v>0</v>
      </c>
      <c r="AE218" s="164">
        <v>0</v>
      </c>
      <c r="AF218" s="164">
        <f>AG218+AH218</f>
        <v>2763120.1699000001</v>
      </c>
      <c r="AG218" s="164">
        <f>AA218+AD218</f>
        <v>2763120.1699000001</v>
      </c>
      <c r="AH218" s="164">
        <v>0</v>
      </c>
      <c r="AI218" s="164">
        <v>0</v>
      </c>
      <c r="AJ218" s="164">
        <v>1412554.6367500001</v>
      </c>
      <c r="AK218" s="164">
        <f>Z218-AJ218</f>
        <v>1350565.53315</v>
      </c>
      <c r="AL218" s="164">
        <f>AF218-AJ218</f>
        <v>1350565.53315</v>
      </c>
      <c r="AM218" s="175"/>
      <c r="AN218" s="175"/>
      <c r="AO218" s="164">
        <v>1</v>
      </c>
      <c r="AP218" s="165">
        <v>1421173.14338</v>
      </c>
      <c r="AQ218" s="165"/>
      <c r="AR218" s="165">
        <f>AF218-AP218</f>
        <v>1341947.0265200001</v>
      </c>
      <c r="AS218" s="164">
        <f>AT218+AU218</f>
        <v>3129786.5060000001</v>
      </c>
      <c r="AT218" s="164">
        <f>'[5]2018-2019 _с лимит75и50'!BQ132</f>
        <v>3129786.5060000001</v>
      </c>
      <c r="AU218" s="164"/>
      <c r="AV218" s="164">
        <f>AW218+AX218</f>
        <v>0</v>
      </c>
      <c r="AW218" s="164">
        <f>AZ218-AT218</f>
        <v>0</v>
      </c>
      <c r="AX218" s="164">
        <v>0</v>
      </c>
      <c r="AY218" s="164">
        <f>AZ218+BA218</f>
        <v>3129786.5060000001</v>
      </c>
      <c r="AZ218" s="164">
        <f>AT218</f>
        <v>3129786.5060000001</v>
      </c>
      <c r="BA218" s="164"/>
      <c r="BB218" s="164">
        <f>BC218+BD218</f>
        <v>3124120</v>
      </c>
      <c r="BC218" s="164">
        <v>3124120</v>
      </c>
      <c r="BD218" s="164"/>
      <c r="BE218" s="164">
        <f>BF218+BG218</f>
        <v>0</v>
      </c>
      <c r="BF218" s="164">
        <v>0</v>
      </c>
      <c r="BG218" s="164">
        <f>BX218-BD218</f>
        <v>0</v>
      </c>
      <c r="BH218" s="164">
        <f>BI218+BJ218</f>
        <v>1691327.73172</v>
      </c>
      <c r="BI218" s="164">
        <f>BN218</f>
        <v>1691327.73172</v>
      </c>
      <c r="BJ218" s="164"/>
      <c r="BK218" s="164">
        <v>1</v>
      </c>
      <c r="BL218" s="144">
        <f>AY218</f>
        <v>3129786.5060000001</v>
      </c>
      <c r="BM218" s="144">
        <f>BN218+BO218</f>
        <v>1691327.73172</v>
      </c>
      <c r="BN218" s="144">
        <v>1691327.73172</v>
      </c>
      <c r="BO218" s="144"/>
      <c r="BP218" s="144">
        <f>BQ218+BR218</f>
        <v>0</v>
      </c>
      <c r="BQ218" s="144">
        <v>0</v>
      </c>
      <c r="BR218" s="144"/>
      <c r="BS218" s="144">
        <f>BT218</f>
        <v>0</v>
      </c>
      <c r="BT218" s="144">
        <f>BI218-BN218</f>
        <v>0</v>
      </c>
      <c r="BU218" s="144"/>
      <c r="BV218" s="164">
        <f>BW218+BX218</f>
        <v>3129786.5060000001</v>
      </c>
      <c r="BW218" s="164">
        <f>3124120+5666.506</f>
        <v>3129786.5060000001</v>
      </c>
      <c r="BX218" s="164"/>
      <c r="BY218" s="164">
        <f>BZ218+CA218</f>
        <v>1149007.7592799999</v>
      </c>
      <c r="BZ218" s="164">
        <f>CC218-BI218</f>
        <v>1149007.7592799999</v>
      </c>
      <c r="CA218" s="164">
        <v>0</v>
      </c>
      <c r="CB218" s="164">
        <f t="shared" si="475"/>
        <v>2840335.4909999999</v>
      </c>
      <c r="CC218" s="164">
        <v>2840335.4909999999</v>
      </c>
      <c r="CD218" s="164">
        <f>BX218+CA218</f>
        <v>0</v>
      </c>
      <c r="CE218" s="164">
        <v>1</v>
      </c>
      <c r="CF218" s="144">
        <f>BV218</f>
        <v>3129786.5060000001</v>
      </c>
      <c r="CG218" s="164"/>
      <c r="CH218" s="164">
        <f>CI218+CJ218</f>
        <v>3286275.8313000002</v>
      </c>
      <c r="CI218" s="164">
        <v>3286275.8313000002</v>
      </c>
      <c r="CJ218" s="164"/>
      <c r="CK218" s="164">
        <f>CL218+CM218</f>
        <v>0</v>
      </c>
      <c r="CL218" s="164">
        <v>0</v>
      </c>
      <c r="CM218" s="164">
        <v>0</v>
      </c>
      <c r="CN218" s="164" t="e">
        <f>CO218+CP218</f>
        <v>#REF!</v>
      </c>
      <c r="CO218" s="164" t="e">
        <f>-#REF!</f>
        <v>#REF!</v>
      </c>
      <c r="CP218" s="164"/>
      <c r="CQ218" s="164" t="e">
        <f>CR218+CS218</f>
        <v>#REF!</v>
      </c>
      <c r="CR218" s="164" t="e">
        <f>CH218+CO218</f>
        <v>#REF!</v>
      </c>
      <c r="CS218" s="164"/>
      <c r="CT218" s="164">
        <f>CU218+CV218</f>
        <v>-206852.65677999984</v>
      </c>
      <c r="CU218" s="164">
        <f>CX218-CC218</f>
        <v>-206852.65677999984</v>
      </c>
      <c r="CV218" s="164">
        <f>CP218+CS218</f>
        <v>0</v>
      </c>
      <c r="CW218" s="164">
        <f t="shared" si="478"/>
        <v>2633482.8342200001</v>
      </c>
      <c r="CX218" s="164">
        <v>2633482.8342200001</v>
      </c>
      <c r="CY218" s="164">
        <f>CS218+CV218</f>
        <v>0</v>
      </c>
      <c r="CZ218" s="164">
        <f>DA218+DB218</f>
        <v>2876814.5317000002</v>
      </c>
      <c r="DA218" s="164">
        <v>2876814.5317000002</v>
      </c>
      <c r="DB218" s="164"/>
      <c r="DC218" s="164"/>
      <c r="DD218" s="164"/>
      <c r="DE218" s="164"/>
      <c r="DF218" s="164">
        <f t="shared" si="479"/>
        <v>0</v>
      </c>
      <c r="DG218" s="164">
        <f>DJ218-CX218</f>
        <v>0</v>
      </c>
      <c r="DH218" s="164">
        <f>DB218+DE218</f>
        <v>0</v>
      </c>
      <c r="DI218" s="164">
        <f t="shared" si="480"/>
        <v>2633482.8342200001</v>
      </c>
      <c r="DJ218" s="164">
        <f>CX218</f>
        <v>2633482.8342200001</v>
      </c>
      <c r="DK218" s="164">
        <f>DE218+DH218</f>
        <v>0</v>
      </c>
      <c r="DL218" s="164">
        <f t="shared" si="481"/>
        <v>1691327.73172</v>
      </c>
      <c r="DM218" s="164">
        <v>1691327.73172</v>
      </c>
      <c r="DN218" s="164">
        <f>DH218+DK218</f>
        <v>0</v>
      </c>
      <c r="DO218" s="164">
        <f t="shared" si="482"/>
        <v>942155.10250000004</v>
      </c>
      <c r="DP218" s="164">
        <v>942155.10250000004</v>
      </c>
      <c r="DQ218" s="164">
        <f>DK218+DN218</f>
        <v>0</v>
      </c>
      <c r="DR218" s="164">
        <f t="shared" si="483"/>
        <v>0</v>
      </c>
      <c r="DS218" s="164">
        <f>DJ218-DM218-DP218</f>
        <v>0</v>
      </c>
      <c r="DT218" s="164">
        <f>DN218+DQ218</f>
        <v>0</v>
      </c>
      <c r="DU218" s="164">
        <f>DV218+DW218</f>
        <v>2754243.9517000001</v>
      </c>
      <c r="DV218" s="164">
        <v>2754243.9517000001</v>
      </c>
      <c r="DW218" s="164"/>
      <c r="DX218" s="164">
        <f>DY218+DZ218</f>
        <v>2978971.4634199999</v>
      </c>
      <c r="DY218" s="164">
        <v>2978971.4634199999</v>
      </c>
      <c r="DZ218" s="164"/>
      <c r="EA218" s="164"/>
      <c r="EB218" s="164"/>
      <c r="EC218" s="164"/>
      <c r="ED218" s="164">
        <f t="shared" si="484"/>
        <v>328901.66605999973</v>
      </c>
      <c r="EE218" s="164">
        <f>EH218-DV218</f>
        <v>328901.66605999973</v>
      </c>
      <c r="EF218" s="164"/>
      <c r="EG218" s="164">
        <f t="shared" si="485"/>
        <v>3083145.6177599998</v>
      </c>
      <c r="EH218" s="164">
        <v>3083145.6177599998</v>
      </c>
      <c r="EI218" s="164"/>
      <c r="EJ218" s="164"/>
      <c r="EK218" s="164">
        <f t="shared" ref="EK218:EK224" si="505">EL218+EN218</f>
        <v>-3083145.6177599998</v>
      </c>
      <c r="EL218" s="164">
        <f>ET218-EH218</f>
        <v>-3083145.6177599998</v>
      </c>
      <c r="EM218" s="164"/>
      <c r="EN218" s="164">
        <f>DZ218+EC218</f>
        <v>0</v>
      </c>
      <c r="EO218" s="164">
        <f>EP218+ER218</f>
        <v>0</v>
      </c>
      <c r="EP218" s="164"/>
      <c r="EQ218" s="164"/>
      <c r="ER218" s="164"/>
      <c r="ES218" s="164">
        <f t="shared" si="486"/>
        <v>0</v>
      </c>
      <c r="ET218" s="164"/>
      <c r="EU218" s="164"/>
      <c r="EV218" s="164"/>
      <c r="EW218" s="164">
        <f>EX218+EY218</f>
        <v>2844810.2634199997</v>
      </c>
      <c r="EX218" s="164">
        <f>'[6]18-20 декабря'!$R$170</f>
        <v>2844810.2634199997</v>
      </c>
      <c r="EY218" s="164"/>
      <c r="EZ218" s="164">
        <f t="shared" si="487"/>
        <v>0</v>
      </c>
      <c r="FA218" s="164">
        <f>FD218-EX218</f>
        <v>0</v>
      </c>
      <c r="FB218" s="164"/>
      <c r="FC218" s="163">
        <f t="shared" si="501"/>
        <v>2844810.2634200002</v>
      </c>
      <c r="FD218" s="163">
        <f>[7]Лист1!$I$619</f>
        <v>2844810.2634200002</v>
      </c>
      <c r="FE218" s="163"/>
      <c r="FF218" s="163"/>
      <c r="FG218" s="163">
        <f t="shared" si="502"/>
        <v>0</v>
      </c>
      <c r="FH218" s="163">
        <f>FP218-FD218</f>
        <v>0</v>
      </c>
      <c r="FI218" s="163"/>
      <c r="FJ218" s="163">
        <f>EV218+EY218</f>
        <v>0</v>
      </c>
      <c r="FK218" s="163">
        <f>FL218+FN218</f>
        <v>0</v>
      </c>
      <c r="FL218" s="163"/>
      <c r="FM218" s="163"/>
      <c r="FN218" s="163"/>
      <c r="FO218" s="163">
        <f t="shared" si="488"/>
        <v>2844810.2634200002</v>
      </c>
      <c r="FP218" s="163">
        <f>FD218</f>
        <v>2844810.2634200002</v>
      </c>
      <c r="FQ218" s="163"/>
      <c r="FR218" s="163"/>
      <c r="FS218" s="163">
        <f>FU218</f>
        <v>2220003.7619600003</v>
      </c>
      <c r="FT218" s="575">
        <f t="shared" ref="FT218:FT281" si="506">FS218/FC218</f>
        <v>0.78036971059403293</v>
      </c>
      <c r="FU218" s="163">
        <f>[8]Лист1!$N$782</f>
        <v>2220003.7619600003</v>
      </c>
      <c r="FV218" s="575">
        <f t="shared" ref="FV218:FV281" si="507">FU218/FD218</f>
        <v>0.78036971059403293</v>
      </c>
      <c r="FW218" s="164"/>
      <c r="FX218" s="164"/>
      <c r="FY218" s="164"/>
      <c r="FZ218" s="164"/>
      <c r="GA218" s="163">
        <f t="shared" si="467"/>
        <v>2219618.2419599998</v>
      </c>
      <c r="GB218" s="575">
        <f t="shared" si="503"/>
        <v>0.78023419364762792</v>
      </c>
      <c r="GC218" s="163">
        <f>[9]Лист1!$O$782</f>
        <v>2219618.2419599998</v>
      </c>
      <c r="GD218" s="575">
        <f t="shared" si="504"/>
        <v>0.78023419364762792</v>
      </c>
      <c r="GE218" s="163"/>
      <c r="GF218" s="164"/>
      <c r="GG218" s="163"/>
      <c r="GH218" s="164"/>
      <c r="GI218" s="163">
        <f t="shared" si="468"/>
        <v>2844810.2634200002</v>
      </c>
      <c r="GJ218" s="575">
        <f t="shared" si="471"/>
        <v>1</v>
      </c>
      <c r="GK218" s="163">
        <f>[10]Лист1!$I$678</f>
        <v>2844810.2634200002</v>
      </c>
      <c r="GL218" s="575">
        <f t="shared" si="472"/>
        <v>1</v>
      </c>
      <c r="GM218" s="163"/>
      <c r="GN218" s="575"/>
      <c r="GO218" s="163"/>
      <c r="GP218" s="575"/>
      <c r="GQ218" s="164"/>
      <c r="GR218" s="164"/>
      <c r="GS218" s="164"/>
      <c r="GT218" s="164"/>
      <c r="GU218" s="164">
        <f t="shared" si="489"/>
        <v>3064726.4904499999</v>
      </c>
      <c r="GV218" s="164">
        <v>3064726.4904499999</v>
      </c>
      <c r="GW218" s="164"/>
      <c r="GX218" s="164"/>
      <c r="GY218" s="164"/>
      <c r="GZ218" s="164"/>
      <c r="HA218" s="164"/>
      <c r="HB218" s="164"/>
      <c r="HC218" s="164"/>
      <c r="HD218" s="164"/>
      <c r="HE218" s="164"/>
      <c r="HF218" s="164"/>
      <c r="HG218" s="164">
        <f t="shared" si="490"/>
        <v>0</v>
      </c>
      <c r="HH218" s="164">
        <f>HP218-GV218</f>
        <v>0</v>
      </c>
      <c r="HI218" s="164"/>
      <c r="HJ218" s="164"/>
      <c r="HK218" s="164">
        <f t="shared" si="491"/>
        <v>0</v>
      </c>
      <c r="HL218" s="164">
        <f>IF218-GZ218</f>
        <v>0</v>
      </c>
      <c r="HM218" s="164"/>
      <c r="HN218" s="164"/>
      <c r="HO218" s="164">
        <f t="shared" si="492"/>
        <v>3064726.4904499999</v>
      </c>
      <c r="HP218" s="164">
        <f>GV218</f>
        <v>3064726.4904499999</v>
      </c>
      <c r="HQ218" s="164"/>
      <c r="HR218" s="164"/>
      <c r="HS218" s="164">
        <f t="shared" si="493"/>
        <v>2902565.32064</v>
      </c>
      <c r="HT218" s="164">
        <f>2955178.1627-100000-51902.84206+99290</f>
        <v>2902565.32064</v>
      </c>
      <c r="HU218" s="164"/>
      <c r="HV218" s="164"/>
      <c r="HW218" s="164">
        <f t="shared" si="494"/>
        <v>0</v>
      </c>
      <c r="HX218" s="164">
        <f>IB218-HT218</f>
        <v>0</v>
      </c>
      <c r="HY218" s="164"/>
      <c r="HZ218" s="164"/>
      <c r="IA218" s="164">
        <f t="shared" si="495"/>
        <v>2902565.32064</v>
      </c>
      <c r="IB218" s="164">
        <f>2955178.1627-100000-51902.84206+99290</f>
        <v>2902565.32064</v>
      </c>
      <c r="IC218" s="164"/>
      <c r="ID218" s="164"/>
      <c r="IE218" s="169"/>
      <c r="IF218" s="170"/>
      <c r="IG218" s="170"/>
      <c r="IH218" s="170"/>
    </row>
    <row r="219" spans="1:249" s="171" customFormat="1" ht="24" hidden="1" customHeight="1" x14ac:dyDescent="0.25">
      <c r="B219" s="160"/>
      <c r="C219" s="174" t="s">
        <v>315</v>
      </c>
      <c r="D219" s="174" t="s">
        <v>314</v>
      </c>
      <c r="E219" s="164">
        <f>F219+G219</f>
        <v>215809.67601999996</v>
      </c>
      <c r="F219" s="164">
        <f>2396218.02317-F218</f>
        <v>146047.82019999996</v>
      </c>
      <c r="G219" s="164">
        <v>69761.855819999997</v>
      </c>
      <c r="H219" s="164">
        <f>I219+J219</f>
        <v>0</v>
      </c>
      <c r="I219" s="164">
        <f>L219-F219</f>
        <v>0</v>
      </c>
      <c r="J219" s="164">
        <f>M219-G219</f>
        <v>0</v>
      </c>
      <c r="K219" s="164">
        <f>L219+M219</f>
        <v>215809.67601999996</v>
      </c>
      <c r="L219" s="164">
        <f>2396218.02317-L218</f>
        <v>146047.82019999996</v>
      </c>
      <c r="M219" s="164">
        <v>69761.855819999997</v>
      </c>
      <c r="N219" s="164">
        <f>O219+P219</f>
        <v>0</v>
      </c>
      <c r="O219" s="164">
        <f>R219-L219</f>
        <v>0</v>
      </c>
      <c r="P219" s="164">
        <f>S219-M219</f>
        <v>0</v>
      </c>
      <c r="Q219" s="164">
        <f>R219+S219</f>
        <v>215809.67601999996</v>
      </c>
      <c r="R219" s="164">
        <f>2396218.02317-R218</f>
        <v>146047.82019999996</v>
      </c>
      <c r="S219" s="164">
        <v>69761.855819999997</v>
      </c>
      <c r="T219" s="164">
        <f>U219+V219</f>
        <v>0</v>
      </c>
      <c r="U219" s="164"/>
      <c r="V219" s="164"/>
      <c r="W219" s="164">
        <f>X219+Y219</f>
        <v>13609.566159999929</v>
      </c>
      <c r="X219" s="164">
        <f>AA219-U219</f>
        <v>13609.566159999929</v>
      </c>
      <c r="Y219" s="164">
        <f>AB219-V219</f>
        <v>0</v>
      </c>
      <c r="Z219" s="164">
        <f>AA219+AB219</f>
        <v>13609.566159999929</v>
      </c>
      <c r="AA219" s="164">
        <f>2776729.73606-AA218</f>
        <v>13609.566159999929</v>
      </c>
      <c r="AB219" s="164"/>
      <c r="AC219" s="164">
        <f>AD219+AE219</f>
        <v>0</v>
      </c>
      <c r="AD219" s="164">
        <v>0</v>
      </c>
      <c r="AE219" s="164"/>
      <c r="AF219" s="164">
        <f>AG219+AH219</f>
        <v>13609.566159999929</v>
      </c>
      <c r="AG219" s="164">
        <f>AA219+AD219</f>
        <v>13609.566159999929</v>
      </c>
      <c r="AH219" s="164"/>
      <c r="AI219" s="164">
        <v>0</v>
      </c>
      <c r="AJ219" s="164">
        <v>0</v>
      </c>
      <c r="AK219" s="164">
        <f>Z219-AJ219</f>
        <v>13609.566159999929</v>
      </c>
      <c r="AL219" s="164">
        <f>AF219-AJ219</f>
        <v>13609.566159999929</v>
      </c>
      <c r="AM219" s="175"/>
      <c r="AN219" s="175"/>
      <c r="AO219" s="164">
        <v>1</v>
      </c>
      <c r="AP219" s="165">
        <f>4887.45691+8722.10925</f>
        <v>13609.566159999998</v>
      </c>
      <c r="AQ219" s="165"/>
      <c r="AR219" s="165">
        <f>AF219-AP219</f>
        <v>-6.9121597334742546E-11</v>
      </c>
      <c r="AS219" s="164">
        <f>AT219+AU219</f>
        <v>0</v>
      </c>
      <c r="AT219" s="164">
        <v>0</v>
      </c>
      <c r="AU219" s="164"/>
      <c r="AV219" s="164">
        <f>AW219+AX219</f>
        <v>0</v>
      </c>
      <c r="AW219" s="164">
        <f>AZ219-AT219</f>
        <v>0</v>
      </c>
      <c r="AX219" s="164">
        <f>BA219-AU219</f>
        <v>0</v>
      </c>
      <c r="AY219" s="164">
        <f>AZ219+BA219</f>
        <v>0</v>
      </c>
      <c r="AZ219" s="164">
        <f>AT219</f>
        <v>0</v>
      </c>
      <c r="BA219" s="164"/>
      <c r="BB219" s="164">
        <f>BC219+BD219</f>
        <v>0</v>
      </c>
      <c r="BC219" s="164"/>
      <c r="BD219" s="164"/>
      <c r="BE219" s="164">
        <f>BF219+BG219</f>
        <v>0</v>
      </c>
      <c r="BF219" s="164">
        <f>BW219-BC219</f>
        <v>0</v>
      </c>
      <c r="BG219" s="164">
        <f>BX219-BD219</f>
        <v>0</v>
      </c>
      <c r="BH219" s="164">
        <f>BI219+BJ219</f>
        <v>1438458.77428</v>
      </c>
      <c r="BI219" s="164">
        <f>3129786.506-BI218</f>
        <v>1438458.77428</v>
      </c>
      <c r="BJ219" s="164"/>
      <c r="BK219" s="164">
        <v>1</v>
      </c>
      <c r="BL219" s="144">
        <f>AY219</f>
        <v>0</v>
      </c>
      <c r="BM219" s="144">
        <f>BN219+BO219</f>
        <v>0</v>
      </c>
      <c r="BN219" s="144"/>
      <c r="BO219" s="144"/>
      <c r="BP219" s="144">
        <f>BQ219+BR219</f>
        <v>0</v>
      </c>
      <c r="BQ219" s="144">
        <v>0</v>
      </c>
      <c r="BR219" s="144"/>
      <c r="BS219" s="144">
        <f>BT219</f>
        <v>1438458.77428</v>
      </c>
      <c r="BT219" s="144">
        <f>BI219-BN219-BQ219</f>
        <v>1438458.77428</v>
      </c>
      <c r="BU219" s="144"/>
      <c r="BV219" s="164">
        <f>BW219+BX219</f>
        <v>0</v>
      </c>
      <c r="BW219" s="164">
        <v>0</v>
      </c>
      <c r="BX219" s="164"/>
      <c r="BY219" s="164">
        <f>BZ219+CA219</f>
        <v>-1438458.77428</v>
      </c>
      <c r="BZ219" s="164">
        <f>CC219-BI219</f>
        <v>-1438458.77428</v>
      </c>
      <c r="CA219" s="164"/>
      <c r="CB219" s="164">
        <f t="shared" si="475"/>
        <v>0</v>
      </c>
      <c r="CC219" s="164">
        <v>0</v>
      </c>
      <c r="CD219" s="164">
        <f>BX219+CA219</f>
        <v>0</v>
      </c>
      <c r="CE219" s="164">
        <v>1</v>
      </c>
      <c r="CF219" s="144">
        <f>BV219</f>
        <v>0</v>
      </c>
      <c r="CG219" s="164"/>
      <c r="CH219" s="164">
        <f>CI219+CJ219</f>
        <v>0</v>
      </c>
      <c r="CI219" s="164">
        <v>0</v>
      </c>
      <c r="CJ219" s="164"/>
      <c r="CK219" s="164">
        <f>CL219+CM219</f>
        <v>0</v>
      </c>
      <c r="CL219" s="164">
        <f>CR219-CI219</f>
        <v>0</v>
      </c>
      <c r="CM219" s="164">
        <f>CS219-CJ219</f>
        <v>0</v>
      </c>
      <c r="CN219" s="164"/>
      <c r="CO219" s="164"/>
      <c r="CP219" s="164"/>
      <c r="CQ219" s="164">
        <f>CR219+CS219</f>
        <v>0</v>
      </c>
      <c r="CR219" s="164">
        <v>0</v>
      </c>
      <c r="CS219" s="164"/>
      <c r="CT219" s="164">
        <f>CU219+CV219</f>
        <v>0</v>
      </c>
      <c r="CU219" s="164">
        <f>DA219-CR219</f>
        <v>0</v>
      </c>
      <c r="CV219" s="164">
        <f>CP219+CS219</f>
        <v>0</v>
      </c>
      <c r="CW219" s="164">
        <f t="shared" si="478"/>
        <v>323245.63555999985</v>
      </c>
      <c r="CX219" s="164">
        <f>2956728.46978-CX218</f>
        <v>323245.63555999985</v>
      </c>
      <c r="CY219" s="164">
        <f>CS219+CV219</f>
        <v>0</v>
      </c>
      <c r="CZ219" s="164">
        <f>DA219+DB219</f>
        <v>0</v>
      </c>
      <c r="DA219" s="164">
        <v>0</v>
      </c>
      <c r="DB219" s="164"/>
      <c r="DC219" s="164"/>
      <c r="DD219" s="164"/>
      <c r="DE219" s="164"/>
      <c r="DF219" s="164">
        <f t="shared" si="479"/>
        <v>-4000</v>
      </c>
      <c r="DG219" s="164">
        <f>DJ219-CX219</f>
        <v>-4000</v>
      </c>
      <c r="DH219" s="164">
        <f>DB219+DE219</f>
        <v>0</v>
      </c>
      <c r="DI219" s="164">
        <f t="shared" si="480"/>
        <v>319245.63555999985</v>
      </c>
      <c r="DJ219" s="164">
        <f>CX219-4000</f>
        <v>319245.63555999985</v>
      </c>
      <c r="DK219" s="164">
        <f>DE219+DH219</f>
        <v>0</v>
      </c>
      <c r="DL219" s="164">
        <f t="shared" si="481"/>
        <v>75296.91379999998</v>
      </c>
      <c r="DM219" s="164">
        <f>1766624.64552-DM218</f>
        <v>75296.91379999998</v>
      </c>
      <c r="DN219" s="164">
        <f>DH219+DK219</f>
        <v>0</v>
      </c>
      <c r="DO219" s="164">
        <f t="shared" si="482"/>
        <v>32316.441720000003</v>
      </c>
      <c r="DP219" s="164">
        <f>974471.54422-DP218</f>
        <v>32316.441720000003</v>
      </c>
      <c r="DQ219" s="164">
        <f>DK219+DN219</f>
        <v>0</v>
      </c>
      <c r="DR219" s="164">
        <f t="shared" si="483"/>
        <v>211632.28003999987</v>
      </c>
      <c r="DS219" s="164">
        <f>DJ219-DM219-DP219</f>
        <v>211632.28003999987</v>
      </c>
      <c r="DT219" s="164">
        <f>DN219+DQ219</f>
        <v>0</v>
      </c>
      <c r="DU219" s="164">
        <f>DV219+DW219</f>
        <v>160834.34107999969</v>
      </c>
      <c r="DV219" s="164">
        <f>2915078.29278-DV218</f>
        <v>160834.34107999969</v>
      </c>
      <c r="DW219" s="164"/>
      <c r="DX219" s="164">
        <f>DY219+DZ219</f>
        <v>0</v>
      </c>
      <c r="DY219" s="164">
        <v>0</v>
      </c>
      <c r="DZ219" s="164"/>
      <c r="EA219" s="164"/>
      <c r="EB219" s="164"/>
      <c r="EC219" s="164"/>
      <c r="ED219" s="164">
        <f t="shared" si="484"/>
        <v>62188.427110000513</v>
      </c>
      <c r="EE219" s="164">
        <f>EH219-DV219</f>
        <v>62188.427110000513</v>
      </c>
      <c r="EF219" s="164"/>
      <c r="EG219" s="164">
        <f t="shared" si="485"/>
        <v>223022.76819000021</v>
      </c>
      <c r="EH219" s="164">
        <f>3306168.38595-EH218</f>
        <v>223022.76819000021</v>
      </c>
      <c r="EI219" s="164"/>
      <c r="EJ219" s="164"/>
      <c r="EK219" s="164">
        <f t="shared" si="505"/>
        <v>-223022.76819000021</v>
      </c>
      <c r="EL219" s="164">
        <f>ET219-EH219</f>
        <v>-223022.76819000021</v>
      </c>
      <c r="EM219" s="164"/>
      <c r="EN219" s="164">
        <f>DZ219+EC219</f>
        <v>0</v>
      </c>
      <c r="EO219" s="164">
        <f>EP219+ER219</f>
        <v>0</v>
      </c>
      <c r="EP219" s="164"/>
      <c r="EQ219" s="164"/>
      <c r="ER219" s="164"/>
      <c r="ES219" s="164">
        <f t="shared" si="486"/>
        <v>0</v>
      </c>
      <c r="ET219" s="164"/>
      <c r="EU219" s="164"/>
      <c r="EV219" s="164"/>
      <c r="EW219" s="164">
        <f>EX219+EY219</f>
        <v>162014.12253000028</v>
      </c>
      <c r="EX219" s="164">
        <f>'[6]18-20 декабря'!$Q$169-'[6]18-20 декабря'!$Q$170</f>
        <v>162014.12253000028</v>
      </c>
      <c r="EY219" s="164"/>
      <c r="EZ219" s="164">
        <f t="shared" si="487"/>
        <v>219884.52292999951</v>
      </c>
      <c r="FA219" s="164">
        <f>FD219-EX219</f>
        <v>219884.52292999951</v>
      </c>
      <c r="FB219" s="164"/>
      <c r="FC219" s="163">
        <f t="shared" si="501"/>
        <v>381898.6454599998</v>
      </c>
      <c r="FD219" s="163">
        <f>3226708.90888-FD218</f>
        <v>381898.6454599998</v>
      </c>
      <c r="FE219" s="163"/>
      <c r="FF219" s="163"/>
      <c r="FG219" s="163">
        <f t="shared" si="502"/>
        <v>-99769.558680000016</v>
      </c>
      <c r="FH219" s="163">
        <f>FP219-FD219</f>
        <v>-99769.558680000016</v>
      </c>
      <c r="FI219" s="163"/>
      <c r="FJ219" s="163">
        <f>EV219+EY219</f>
        <v>0</v>
      </c>
      <c r="FK219" s="163">
        <f>FL219+FN219</f>
        <v>0</v>
      </c>
      <c r="FL219" s="163"/>
      <c r="FM219" s="163"/>
      <c r="FN219" s="163"/>
      <c r="FO219" s="163">
        <f t="shared" si="488"/>
        <v>282129.08677999978</v>
      </c>
      <c r="FP219" s="163">
        <f>FD219+230.44132-100000</f>
        <v>282129.08677999978</v>
      </c>
      <c r="FQ219" s="163"/>
      <c r="FR219" s="163"/>
      <c r="FS219" s="163">
        <f t="shared" ref="FS219:FS230" si="508">FU219</f>
        <v>174470.24353000009</v>
      </c>
      <c r="FT219" s="575">
        <f t="shared" si="506"/>
        <v>0.45684960029080324</v>
      </c>
      <c r="FU219" s="163">
        <f>[8]Лист1!$N$775-FU218</f>
        <v>174470.24353000009</v>
      </c>
      <c r="FV219" s="575">
        <f t="shared" si="507"/>
        <v>0.45684960029080324</v>
      </c>
      <c r="FW219" s="164"/>
      <c r="FX219" s="164"/>
      <c r="FY219" s="164"/>
      <c r="FZ219" s="164"/>
      <c r="GA219" s="163">
        <f t="shared" si="467"/>
        <v>162369.58794999999</v>
      </c>
      <c r="GB219" s="575">
        <f t="shared" si="503"/>
        <v>0.42516408445079606</v>
      </c>
      <c r="GC219" s="163">
        <f>[9]Лист1!$O$807</f>
        <v>162369.58794999999</v>
      </c>
      <c r="GD219" s="575">
        <f t="shared" si="504"/>
        <v>0.42516408445079606</v>
      </c>
      <c r="GE219" s="163"/>
      <c r="GF219" s="164"/>
      <c r="GG219" s="163"/>
      <c r="GH219" s="164"/>
      <c r="GI219" s="163">
        <f t="shared" si="468"/>
        <v>362528.70445000008</v>
      </c>
      <c r="GJ219" s="575">
        <f t="shared" si="471"/>
        <v>0.94927989077659991</v>
      </c>
      <c r="GK219" s="163">
        <f>[8]Лист1!$I$775-GK218</f>
        <v>362528.70445000008</v>
      </c>
      <c r="GL219" s="575">
        <f t="shared" si="472"/>
        <v>0.94927989077659991</v>
      </c>
      <c r="GM219" s="163"/>
      <c r="GN219" s="575"/>
      <c r="GO219" s="163"/>
      <c r="GP219" s="575"/>
      <c r="GQ219" s="164"/>
      <c r="GR219" s="164"/>
      <c r="GS219" s="164"/>
      <c r="GT219" s="164"/>
      <c r="GU219" s="164">
        <f t="shared" si="489"/>
        <v>279714.56264000013</v>
      </c>
      <c r="GV219" s="164">
        <f>3344441.05309-GV218</f>
        <v>279714.56264000013</v>
      </c>
      <c r="GW219" s="164"/>
      <c r="GX219" s="164"/>
      <c r="GY219" s="164"/>
      <c r="GZ219" s="164"/>
      <c r="HA219" s="164"/>
      <c r="HB219" s="164"/>
      <c r="HC219" s="164"/>
      <c r="HD219" s="164"/>
      <c r="HE219" s="164"/>
      <c r="HF219" s="164"/>
      <c r="HG219" s="164">
        <f t="shared" si="490"/>
        <v>0</v>
      </c>
      <c r="HH219" s="164">
        <f>HP219-GV219</f>
        <v>0</v>
      </c>
      <c r="HI219" s="164"/>
      <c r="HJ219" s="164"/>
      <c r="HK219" s="164">
        <f t="shared" si="491"/>
        <v>0</v>
      </c>
      <c r="HL219" s="164">
        <f>IF219-GZ219</f>
        <v>0</v>
      </c>
      <c r="HM219" s="164"/>
      <c r="HN219" s="164"/>
      <c r="HO219" s="164">
        <f t="shared" si="492"/>
        <v>279714.56264000013</v>
      </c>
      <c r="HP219" s="164">
        <f>GV219</f>
        <v>279714.56264000013</v>
      </c>
      <c r="HQ219" s="164"/>
      <c r="HR219" s="164"/>
      <c r="HS219" s="164">
        <f t="shared" si="493"/>
        <v>0</v>
      </c>
      <c r="HT219" s="164">
        <v>0</v>
      </c>
      <c r="HU219" s="164"/>
      <c r="HV219" s="164"/>
      <c r="HW219" s="164">
        <f t="shared" si="494"/>
        <v>0</v>
      </c>
      <c r="HX219" s="164">
        <f>IR219-HL219</f>
        <v>0</v>
      </c>
      <c r="HY219" s="164"/>
      <c r="HZ219" s="164"/>
      <c r="IA219" s="164">
        <f t="shared" si="495"/>
        <v>0</v>
      </c>
      <c r="IB219" s="164">
        <v>0</v>
      </c>
      <c r="IC219" s="164"/>
      <c r="ID219" s="164"/>
      <c r="IE219" s="169"/>
      <c r="IF219" s="170"/>
      <c r="IG219" s="170"/>
      <c r="IH219" s="170"/>
    </row>
    <row r="220" spans="1:249" s="171" customFormat="1" ht="24" hidden="1" customHeight="1" x14ac:dyDescent="0.25">
      <c r="B220" s="160"/>
      <c r="C220" s="174" t="s">
        <v>316</v>
      </c>
      <c r="D220" s="17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75"/>
      <c r="AN220" s="175"/>
      <c r="AO220" s="164"/>
      <c r="AP220" s="165"/>
      <c r="AQ220" s="165"/>
      <c r="AR220" s="165"/>
      <c r="AS220" s="164"/>
      <c r="AT220" s="164"/>
      <c r="AU220" s="164"/>
      <c r="AV220" s="164"/>
      <c r="AW220" s="164"/>
      <c r="AX220" s="164"/>
      <c r="AY220" s="164"/>
      <c r="AZ220" s="164"/>
      <c r="BA220" s="164"/>
      <c r="BB220" s="164"/>
      <c r="BC220" s="164"/>
      <c r="BD220" s="164"/>
      <c r="BE220" s="164"/>
      <c r="BF220" s="164"/>
      <c r="BG220" s="164"/>
      <c r="BH220" s="164"/>
      <c r="BI220" s="164"/>
      <c r="BJ220" s="164"/>
      <c r="BK220" s="164"/>
      <c r="BL220" s="144"/>
      <c r="BM220" s="144"/>
      <c r="BN220" s="144"/>
      <c r="BO220" s="144"/>
      <c r="BP220" s="144"/>
      <c r="BQ220" s="144"/>
      <c r="BR220" s="144"/>
      <c r="BS220" s="144"/>
      <c r="BT220" s="144"/>
      <c r="BU220" s="144"/>
      <c r="BV220" s="164"/>
      <c r="BW220" s="164"/>
      <c r="BX220" s="164"/>
      <c r="BY220" s="164"/>
      <c r="BZ220" s="164"/>
      <c r="CA220" s="164"/>
      <c r="CB220" s="164">
        <f t="shared" si="475"/>
        <v>39000</v>
      </c>
      <c r="CC220" s="164">
        <v>39000</v>
      </c>
      <c r="CD220" s="164"/>
      <c r="CE220" s="164"/>
      <c r="CF220" s="144"/>
      <c r="CG220" s="164"/>
      <c r="CH220" s="164"/>
      <c r="CI220" s="164"/>
      <c r="CJ220" s="164"/>
      <c r="CK220" s="164"/>
      <c r="CL220" s="164"/>
      <c r="CM220" s="164"/>
      <c r="CN220" s="164"/>
      <c r="CO220" s="164"/>
      <c r="CP220" s="164"/>
      <c r="CQ220" s="164"/>
      <c r="CR220" s="164"/>
      <c r="CS220" s="164"/>
      <c r="CT220" s="164"/>
      <c r="CU220" s="164"/>
      <c r="CV220" s="164"/>
      <c r="CW220" s="164">
        <f t="shared" si="478"/>
        <v>23424</v>
      </c>
      <c r="CX220" s="164">
        <v>23424</v>
      </c>
      <c r="CY220" s="164"/>
      <c r="CZ220" s="164">
        <f>DA220+DB220</f>
        <v>39000</v>
      </c>
      <c r="DA220" s="164">
        <v>39000</v>
      </c>
      <c r="DB220" s="164"/>
      <c r="DC220" s="164"/>
      <c r="DD220" s="164"/>
      <c r="DE220" s="164"/>
      <c r="DF220" s="164">
        <f t="shared" si="479"/>
        <v>0</v>
      </c>
      <c r="DG220" s="164">
        <f>DJ220-CX220</f>
        <v>0</v>
      </c>
      <c r="DH220" s="164"/>
      <c r="DI220" s="164">
        <f t="shared" si="480"/>
        <v>23424</v>
      </c>
      <c r="DJ220" s="164">
        <f>CX220</f>
        <v>23424</v>
      </c>
      <c r="DK220" s="164"/>
      <c r="DL220" s="164">
        <f t="shared" si="481"/>
        <v>1160.5318299999999</v>
      </c>
      <c r="DM220" s="164">
        <v>1160.5318299999999</v>
      </c>
      <c r="DN220" s="164"/>
      <c r="DO220" s="164">
        <f t="shared" si="482"/>
        <v>22263.46817</v>
      </c>
      <c r="DP220" s="164">
        <v>22263.46817</v>
      </c>
      <c r="DQ220" s="164"/>
      <c r="DR220" s="164">
        <f t="shared" si="483"/>
        <v>0</v>
      </c>
      <c r="DS220" s="164">
        <f>DJ220-DM220-DP220</f>
        <v>0</v>
      </c>
      <c r="DT220" s="164"/>
      <c r="DU220" s="164">
        <f>DV220+DW220</f>
        <v>31232</v>
      </c>
      <c r="DV220" s="164">
        <v>31232</v>
      </c>
      <c r="DW220" s="164"/>
      <c r="DX220" s="164">
        <f>DY220</f>
        <v>39000</v>
      </c>
      <c r="DY220" s="164">
        <v>39000</v>
      </c>
      <c r="DZ220" s="164"/>
      <c r="EA220" s="164"/>
      <c r="EB220" s="164"/>
      <c r="EC220" s="164"/>
      <c r="ED220" s="164">
        <f t="shared" si="484"/>
        <v>18768</v>
      </c>
      <c r="EE220" s="164">
        <f>EH220-DV220</f>
        <v>18768</v>
      </c>
      <c r="EF220" s="164"/>
      <c r="EG220" s="164">
        <f t="shared" si="485"/>
        <v>50000</v>
      </c>
      <c r="EH220" s="164">
        <v>50000</v>
      </c>
      <c r="EI220" s="164"/>
      <c r="EJ220" s="164"/>
      <c r="EK220" s="164">
        <f t="shared" si="505"/>
        <v>-50000</v>
      </c>
      <c r="EL220" s="164">
        <f>ET220-EH220</f>
        <v>-50000</v>
      </c>
      <c r="EM220" s="164"/>
      <c r="EN220" s="164"/>
      <c r="EO220" s="164">
        <f>EP220+ER220</f>
        <v>0</v>
      </c>
      <c r="EP220" s="164"/>
      <c r="EQ220" s="164"/>
      <c r="ER220" s="164"/>
      <c r="ES220" s="164">
        <f t="shared" si="486"/>
        <v>0</v>
      </c>
      <c r="ET220" s="164"/>
      <c r="EU220" s="164"/>
      <c r="EV220" s="164"/>
      <c r="EW220" s="164">
        <f>EX220</f>
        <v>41000</v>
      </c>
      <c r="EX220" s="164">
        <v>41000</v>
      </c>
      <c r="EY220" s="164"/>
      <c r="EZ220" s="164">
        <f t="shared" si="487"/>
        <v>15554.443359999997</v>
      </c>
      <c r="FA220" s="164">
        <f>FD220-EX220</f>
        <v>15554.443359999997</v>
      </c>
      <c r="FB220" s="164"/>
      <c r="FC220" s="163">
        <f t="shared" si="501"/>
        <v>56554.443359999997</v>
      </c>
      <c r="FD220" s="163">
        <v>56554.443359999997</v>
      </c>
      <c r="FE220" s="163"/>
      <c r="FF220" s="163"/>
      <c r="FG220" s="163">
        <f t="shared" si="502"/>
        <v>190.58974000000308</v>
      </c>
      <c r="FH220" s="163">
        <f>FP220-FD220</f>
        <v>190.58974000000308</v>
      </c>
      <c r="FI220" s="163"/>
      <c r="FJ220" s="163"/>
      <c r="FK220" s="163">
        <f>FL220+FN220</f>
        <v>0</v>
      </c>
      <c r="FL220" s="163"/>
      <c r="FM220" s="163"/>
      <c r="FN220" s="163"/>
      <c r="FO220" s="163">
        <f t="shared" si="488"/>
        <v>56745.033100000001</v>
      </c>
      <c r="FP220" s="163">
        <f>FD220+190.58974</f>
        <v>56745.033100000001</v>
      </c>
      <c r="FQ220" s="163"/>
      <c r="FR220" s="163"/>
      <c r="FS220" s="163">
        <f t="shared" si="508"/>
        <v>30324.152269999999</v>
      </c>
      <c r="FT220" s="575">
        <f t="shared" si="506"/>
        <v>0.53619398350312042</v>
      </c>
      <c r="FU220" s="163">
        <v>30324.152269999999</v>
      </c>
      <c r="FV220" s="575">
        <f t="shared" si="507"/>
        <v>0.53619398350312042</v>
      </c>
      <c r="FW220" s="164"/>
      <c r="FX220" s="164"/>
      <c r="FY220" s="164"/>
      <c r="FZ220" s="164"/>
      <c r="GA220" s="163">
        <f t="shared" si="467"/>
        <v>27578.725559999999</v>
      </c>
      <c r="GB220" s="575">
        <f t="shared" si="503"/>
        <v>0.48764913809594607</v>
      </c>
      <c r="GC220" s="163">
        <v>27578.725559999999</v>
      </c>
      <c r="GD220" s="575">
        <f t="shared" si="504"/>
        <v>0.48764913809594607</v>
      </c>
      <c r="GE220" s="163"/>
      <c r="GF220" s="164"/>
      <c r="GG220" s="163"/>
      <c r="GH220" s="164"/>
      <c r="GI220" s="163">
        <f t="shared" si="468"/>
        <v>56554.443359999997</v>
      </c>
      <c r="GJ220" s="575">
        <f t="shared" si="471"/>
        <v>1</v>
      </c>
      <c r="GK220" s="163">
        <f>[10]Лист1!$I$709</f>
        <v>56554.443359999997</v>
      </c>
      <c r="GL220" s="575">
        <f t="shared" si="472"/>
        <v>1</v>
      </c>
      <c r="GM220" s="163"/>
      <c r="GN220" s="575"/>
      <c r="GO220" s="163"/>
      <c r="GP220" s="575"/>
      <c r="GQ220" s="164"/>
      <c r="GR220" s="164"/>
      <c r="GS220" s="164"/>
      <c r="GT220" s="164"/>
      <c r="GU220" s="164">
        <f t="shared" si="489"/>
        <v>46200</v>
      </c>
      <c r="GV220" s="164">
        <v>46200</v>
      </c>
      <c r="GW220" s="164"/>
      <c r="GX220" s="164"/>
      <c r="GY220" s="164"/>
      <c r="GZ220" s="164"/>
      <c r="HA220" s="164"/>
      <c r="HB220" s="164"/>
      <c r="HC220" s="164"/>
      <c r="HD220" s="164"/>
      <c r="HE220" s="164"/>
      <c r="HF220" s="164"/>
      <c r="HG220" s="164">
        <f t="shared" si="490"/>
        <v>0</v>
      </c>
      <c r="HH220" s="164">
        <f>HP220-GV220</f>
        <v>0</v>
      </c>
      <c r="HI220" s="164"/>
      <c r="HJ220" s="164"/>
      <c r="HK220" s="164">
        <f t="shared" si="491"/>
        <v>0</v>
      </c>
      <c r="HL220" s="164">
        <f>IF220-GZ220</f>
        <v>0</v>
      </c>
      <c r="HM220" s="164"/>
      <c r="HN220" s="164"/>
      <c r="HO220" s="164">
        <f t="shared" si="492"/>
        <v>46200</v>
      </c>
      <c r="HP220" s="164">
        <f>GV220</f>
        <v>46200</v>
      </c>
      <c r="HQ220" s="164"/>
      <c r="HR220" s="164"/>
      <c r="HS220" s="164">
        <f t="shared" si="493"/>
        <v>4729.6773000000003</v>
      </c>
      <c r="HT220" s="164">
        <v>4729.6773000000003</v>
      </c>
      <c r="HU220" s="164"/>
      <c r="HV220" s="164"/>
      <c r="HW220" s="164">
        <f t="shared" si="494"/>
        <v>0</v>
      </c>
      <c r="HX220" s="164">
        <f>IR220-HL220</f>
        <v>0</v>
      </c>
      <c r="HY220" s="164"/>
      <c r="HZ220" s="164"/>
      <c r="IA220" s="164">
        <f t="shared" si="495"/>
        <v>4729.6773000000003</v>
      </c>
      <c r="IB220" s="164">
        <v>4729.6773000000003</v>
      </c>
      <c r="IC220" s="164"/>
      <c r="ID220" s="164"/>
      <c r="IE220" s="169"/>
      <c r="IF220" s="170"/>
      <c r="IG220" s="170"/>
      <c r="IH220" s="170"/>
    </row>
    <row r="221" spans="1:249" s="171" customFormat="1" ht="25.5" hidden="1" customHeight="1" x14ac:dyDescent="0.25">
      <c r="B221" s="160"/>
      <c r="C221" s="174" t="s">
        <v>468</v>
      </c>
      <c r="D221" s="174" t="s">
        <v>149</v>
      </c>
      <c r="E221" s="164">
        <f>F221+G221</f>
        <v>42337.437290000002</v>
      </c>
      <c r="F221" s="164">
        <v>34572.437290000002</v>
      </c>
      <c r="G221" s="164">
        <v>7765</v>
      </c>
      <c r="H221" s="164">
        <f>I221+J221</f>
        <v>0</v>
      </c>
      <c r="I221" s="164">
        <f>L221-F221</f>
        <v>0</v>
      </c>
      <c r="J221" s="164">
        <f>M221-G221</f>
        <v>0</v>
      </c>
      <c r="K221" s="164">
        <f>L221+M221</f>
        <v>42337.437290000002</v>
      </c>
      <c r="L221" s="164">
        <v>34572.437290000002</v>
      </c>
      <c r="M221" s="164">
        <v>7765</v>
      </c>
      <c r="N221" s="164">
        <f>O221+P221</f>
        <v>0</v>
      </c>
      <c r="O221" s="164">
        <f>R221-L221</f>
        <v>0</v>
      </c>
      <c r="P221" s="164">
        <f>S221-M221</f>
        <v>0</v>
      </c>
      <c r="Q221" s="164">
        <f>R221+S221</f>
        <v>42337.437290000002</v>
      </c>
      <c r="R221" s="164">
        <v>34572.437290000002</v>
      </c>
      <c r="S221" s="164">
        <v>7765</v>
      </c>
      <c r="T221" s="164">
        <f>U221+V221</f>
        <v>178172</v>
      </c>
      <c r="U221" s="164">
        <v>0</v>
      </c>
      <c r="V221" s="164">
        <v>178172</v>
      </c>
      <c r="W221" s="164">
        <f>X221+Y221</f>
        <v>-134000</v>
      </c>
      <c r="X221" s="164">
        <f>AA221-U221</f>
        <v>44172</v>
      </c>
      <c r="Y221" s="164">
        <f>AB221-V221</f>
        <v>-178172</v>
      </c>
      <c r="Z221" s="164">
        <f>AA221+AB221</f>
        <v>44172</v>
      </c>
      <c r="AA221" s="164">
        <v>44172</v>
      </c>
      <c r="AB221" s="164">
        <v>0</v>
      </c>
      <c r="AC221" s="164">
        <f>AD221+AE221</f>
        <v>0</v>
      </c>
      <c r="AD221" s="164">
        <v>0</v>
      </c>
      <c r="AE221" s="164">
        <v>0</v>
      </c>
      <c r="AF221" s="164">
        <f>AG221+AH221</f>
        <v>44172</v>
      </c>
      <c r="AG221" s="164">
        <f>AA221+AD221</f>
        <v>44172</v>
      </c>
      <c r="AH221" s="164">
        <v>0</v>
      </c>
      <c r="AI221" s="164">
        <v>0</v>
      </c>
      <c r="AJ221" s="164">
        <v>0</v>
      </c>
      <c r="AK221" s="164">
        <f>Z221-AJ221</f>
        <v>44172</v>
      </c>
      <c r="AL221" s="164">
        <f>AF221-AJ221</f>
        <v>44172</v>
      </c>
      <c r="AM221" s="175"/>
      <c r="AN221" s="175"/>
      <c r="AO221" s="164">
        <v>1</v>
      </c>
      <c r="AP221" s="165">
        <v>6109.6104299999997</v>
      </c>
      <c r="AQ221" s="165">
        <v>96.814340000000001</v>
      </c>
      <c r="AR221" s="165">
        <f>AF221-AP221-AQ221</f>
        <v>37965.575230000002</v>
      </c>
      <c r="AS221" s="164">
        <f>AT221+AU221</f>
        <v>188599.448</v>
      </c>
      <c r="AT221" s="164">
        <f>'[5]2018-2019 _с лимит75и50'!BQ134</f>
        <v>188599.448</v>
      </c>
      <c r="AU221" s="164"/>
      <c r="AV221" s="164">
        <f>AW221+AX221</f>
        <v>0</v>
      </c>
      <c r="AW221" s="164">
        <v>0</v>
      </c>
      <c r="AX221" s="164">
        <v>0</v>
      </c>
      <c r="AY221" s="164">
        <f>AZ221+BA221</f>
        <v>188599.448</v>
      </c>
      <c r="AZ221" s="164">
        <f>AT221</f>
        <v>188599.448</v>
      </c>
      <c r="BA221" s="164"/>
      <c r="BB221" s="164">
        <f>BC221+BD221</f>
        <v>188599.448</v>
      </c>
      <c r="BC221" s="164">
        <f>188600-0.552</f>
        <v>188599.448</v>
      </c>
      <c r="BD221" s="164"/>
      <c r="BE221" s="164">
        <f>BF221+BG221</f>
        <v>0</v>
      </c>
      <c r="BF221" s="164">
        <f>BW221-BC221</f>
        <v>0</v>
      </c>
      <c r="BG221" s="164">
        <f>BX221-BD221</f>
        <v>0</v>
      </c>
      <c r="BH221" s="164">
        <f>BI221+BJ221</f>
        <v>188599.448</v>
      </c>
      <c r="BI221" s="164">
        <f>BC221</f>
        <v>188599.448</v>
      </c>
      <c r="BJ221" s="164"/>
      <c r="BK221" s="164">
        <v>1</v>
      </c>
      <c r="BL221" s="144">
        <f>AY221</f>
        <v>188599.448</v>
      </c>
      <c r="BM221" s="144"/>
      <c r="BN221" s="144"/>
      <c r="BO221" s="144"/>
      <c r="BP221" s="144">
        <f>BQ221+BR221</f>
        <v>0</v>
      </c>
      <c r="BQ221" s="144">
        <v>0</v>
      </c>
      <c r="BR221" s="144"/>
      <c r="BS221" s="144">
        <f>BT221</f>
        <v>188599.448</v>
      </c>
      <c r="BT221" s="144">
        <f>BI221-BN221-BQ221</f>
        <v>188599.448</v>
      </c>
      <c r="BU221" s="144"/>
      <c r="BV221" s="164">
        <f>BW221+BX221</f>
        <v>188599.448</v>
      </c>
      <c r="BW221" s="164">
        <v>188599.448</v>
      </c>
      <c r="BX221" s="164"/>
      <c r="BY221" s="164">
        <f>BZ221+CA221</f>
        <v>-139000</v>
      </c>
      <c r="BZ221" s="164">
        <f>CC221-BI221</f>
        <v>-139000</v>
      </c>
      <c r="CA221" s="164">
        <v>0</v>
      </c>
      <c r="CB221" s="164">
        <f t="shared" si="475"/>
        <v>49599.447999999997</v>
      </c>
      <c r="CC221" s="164">
        <v>49599.447999999997</v>
      </c>
      <c r="CD221" s="164">
        <f>BX221+CA221</f>
        <v>0</v>
      </c>
      <c r="CE221" s="164">
        <v>1</v>
      </c>
      <c r="CF221" s="144">
        <f>BV221</f>
        <v>188599.448</v>
      </c>
      <c r="CG221" s="164"/>
      <c r="CH221" s="164">
        <f>CI221+CJ221</f>
        <v>198029.4204</v>
      </c>
      <c r="CI221" s="164">
        <v>198029.4204</v>
      </c>
      <c r="CJ221" s="164"/>
      <c r="CK221" s="164">
        <f>CL221+CM221</f>
        <v>0</v>
      </c>
      <c r="CL221" s="164">
        <v>0</v>
      </c>
      <c r="CM221" s="164">
        <v>0</v>
      </c>
      <c r="CN221" s="164"/>
      <c r="CO221" s="164"/>
      <c r="CP221" s="164"/>
      <c r="CQ221" s="164">
        <f>CR221+CS221</f>
        <v>198029.4204</v>
      </c>
      <c r="CR221" s="164">
        <v>198029.4204</v>
      </c>
      <c r="CS221" s="164"/>
      <c r="CT221" s="164">
        <f>CU221+CV221</f>
        <v>0</v>
      </c>
      <c r="CU221" s="164">
        <v>0</v>
      </c>
      <c r="CV221" s="164">
        <f>CP221+CS221</f>
        <v>0</v>
      </c>
      <c r="CW221" s="164">
        <f t="shared" si="478"/>
        <v>11462.81561</v>
      </c>
      <c r="CX221" s="164">
        <v>11462.81561</v>
      </c>
      <c r="CY221" s="164">
        <f>CS221+CV221</f>
        <v>0</v>
      </c>
      <c r="CZ221" s="164">
        <f>DA221+DB221</f>
        <v>50029.42</v>
      </c>
      <c r="DA221" s="164">
        <v>50029.42</v>
      </c>
      <c r="DB221" s="164"/>
      <c r="DC221" s="164"/>
      <c r="DD221" s="164"/>
      <c r="DE221" s="164"/>
      <c r="DF221" s="164">
        <f t="shared" si="479"/>
        <v>0</v>
      </c>
      <c r="DG221" s="164">
        <f>DJ221-CX221</f>
        <v>0</v>
      </c>
      <c r="DH221" s="164">
        <f>DB221+DE221</f>
        <v>0</v>
      </c>
      <c r="DI221" s="164">
        <f t="shared" si="480"/>
        <v>11462.81561</v>
      </c>
      <c r="DJ221" s="164">
        <f>CX221</f>
        <v>11462.81561</v>
      </c>
      <c r="DK221" s="164">
        <f>DE221+DH221</f>
        <v>0</v>
      </c>
      <c r="DL221" s="164">
        <f t="shared" si="481"/>
        <v>1439.4535900000001</v>
      </c>
      <c r="DM221" s="164">
        <f>1439.45359</f>
        <v>1439.4535900000001</v>
      </c>
      <c r="DN221" s="164">
        <f>DH221+DK221</f>
        <v>0</v>
      </c>
      <c r="DO221" s="164">
        <f t="shared" si="482"/>
        <v>0</v>
      </c>
      <c r="DP221" s="164">
        <v>0</v>
      </c>
      <c r="DQ221" s="164">
        <f>DK221+DN221</f>
        <v>0</v>
      </c>
      <c r="DR221" s="164">
        <f t="shared" si="483"/>
        <v>10023.36202</v>
      </c>
      <c r="DS221" s="164">
        <f>DJ221-DM221-DP221</f>
        <v>10023.36202</v>
      </c>
      <c r="DT221" s="164">
        <f>DN221+DQ221</f>
        <v>0</v>
      </c>
      <c r="DU221" s="164">
        <f>DV221+DW221</f>
        <v>19533.658920000002</v>
      </c>
      <c r="DV221" s="164">
        <v>19533.658920000002</v>
      </c>
      <c r="DW221" s="164"/>
      <c r="DX221" s="164">
        <f>DY221+DZ221</f>
        <v>50500</v>
      </c>
      <c r="DY221" s="164">
        <v>50500</v>
      </c>
      <c r="DZ221" s="164"/>
      <c r="EA221" s="164"/>
      <c r="EB221" s="164"/>
      <c r="EC221" s="164"/>
      <c r="ED221" s="164">
        <f t="shared" si="484"/>
        <v>1113.4185499999949</v>
      </c>
      <c r="EE221" s="164">
        <f>EH221-DV221</f>
        <v>1113.4185499999949</v>
      </c>
      <c r="EF221" s="164"/>
      <c r="EG221" s="164">
        <f t="shared" si="485"/>
        <v>20647.077469999997</v>
      </c>
      <c r="EH221" s="164">
        <f>35497.07747-EH223</f>
        <v>20647.077469999997</v>
      </c>
      <c r="EI221" s="164"/>
      <c r="EJ221" s="164"/>
      <c r="EK221" s="164">
        <f t="shared" si="505"/>
        <v>-20647.077469999997</v>
      </c>
      <c r="EL221" s="164">
        <f>ET221-EH221</f>
        <v>-20647.077469999997</v>
      </c>
      <c r="EM221" s="164"/>
      <c r="EN221" s="164">
        <f>DZ221+EC221</f>
        <v>0</v>
      </c>
      <c r="EO221" s="164">
        <f>EP221+ER221</f>
        <v>0</v>
      </c>
      <c r="EP221" s="164"/>
      <c r="EQ221" s="164"/>
      <c r="ER221" s="164"/>
      <c r="ES221" s="164">
        <f t="shared" si="486"/>
        <v>0</v>
      </c>
      <c r="ET221" s="164"/>
      <c r="EU221" s="164"/>
      <c r="EV221" s="164"/>
      <c r="EW221" s="164">
        <f>EX221+EY221</f>
        <v>20647.07747</v>
      </c>
      <c r="EX221" s="164">
        <f>'[6]18-20 декабря'!$Q$208</f>
        <v>20647.07747</v>
      </c>
      <c r="EY221" s="164"/>
      <c r="EZ221" s="164">
        <f t="shared" si="487"/>
        <v>22512.996770000002</v>
      </c>
      <c r="FA221" s="164">
        <f>FD221-EX221</f>
        <v>22512.996770000002</v>
      </c>
      <c r="FB221" s="164"/>
      <c r="FC221" s="163">
        <f t="shared" si="501"/>
        <v>43160.074240000002</v>
      </c>
      <c r="FD221" s="163">
        <f>57193.32424-FD223</f>
        <v>43160.074240000002</v>
      </c>
      <c r="FE221" s="163"/>
      <c r="FF221" s="163"/>
      <c r="FG221" s="163">
        <f t="shared" si="502"/>
        <v>365.1820000000007</v>
      </c>
      <c r="FH221" s="163">
        <f>FP221-FD221</f>
        <v>365.1820000000007</v>
      </c>
      <c r="FI221" s="163"/>
      <c r="FJ221" s="163">
        <f>EV221+EY221</f>
        <v>0</v>
      </c>
      <c r="FK221" s="163">
        <f>FL221+FN221</f>
        <v>0</v>
      </c>
      <c r="FL221" s="163"/>
      <c r="FM221" s="163"/>
      <c r="FN221" s="163"/>
      <c r="FO221" s="163">
        <f t="shared" si="488"/>
        <v>43525.256240000002</v>
      </c>
      <c r="FP221" s="163">
        <f>FD221+365.182</f>
        <v>43525.256240000002</v>
      </c>
      <c r="FQ221" s="163"/>
      <c r="FR221" s="163"/>
      <c r="FS221" s="163">
        <f t="shared" si="508"/>
        <v>1452.307</v>
      </c>
      <c r="FT221" s="575">
        <f t="shared" si="506"/>
        <v>3.3649316540193236E-2</v>
      </c>
      <c r="FU221" s="163">
        <f>[8]Лист1!$N$813</f>
        <v>1452.307</v>
      </c>
      <c r="FV221" s="575">
        <f t="shared" si="507"/>
        <v>3.3649316540193236E-2</v>
      </c>
      <c r="FW221" s="164"/>
      <c r="FX221" s="164"/>
      <c r="FY221" s="164"/>
      <c r="FZ221" s="164"/>
      <c r="GA221" s="163">
        <f t="shared" si="467"/>
        <v>1452.307</v>
      </c>
      <c r="GB221" s="575">
        <f t="shared" si="503"/>
        <v>3.3649316540193236E-2</v>
      </c>
      <c r="GC221" s="163">
        <v>1452.307</v>
      </c>
      <c r="GD221" s="575">
        <f t="shared" si="504"/>
        <v>3.3649316540193236E-2</v>
      </c>
      <c r="GE221" s="163"/>
      <c r="GF221" s="164"/>
      <c r="GG221" s="163"/>
      <c r="GH221" s="164"/>
      <c r="GI221" s="163">
        <f t="shared" si="468"/>
        <v>3148.8722400000006</v>
      </c>
      <c r="GJ221" s="575">
        <f t="shared" si="471"/>
        <v>7.2957989425367603E-2</v>
      </c>
      <c r="GK221" s="163">
        <f>[10]Лист1!$I$701-[10]Лист1!$I$705</f>
        <v>3148.8722400000006</v>
      </c>
      <c r="GL221" s="575">
        <f t="shared" si="472"/>
        <v>7.2957989425367603E-2</v>
      </c>
      <c r="GM221" s="163"/>
      <c r="GN221" s="575"/>
      <c r="GO221" s="163"/>
      <c r="GP221" s="575"/>
      <c r="GQ221" s="164"/>
      <c r="GR221" s="164"/>
      <c r="GS221" s="164"/>
      <c r="GT221" s="164"/>
      <c r="GU221" s="164">
        <f t="shared" si="489"/>
        <v>21803.31381</v>
      </c>
      <c r="GV221" s="164">
        <v>21803.31381</v>
      </c>
      <c r="GW221" s="164"/>
      <c r="GX221" s="164"/>
      <c r="GY221" s="164"/>
      <c r="GZ221" s="164"/>
      <c r="HA221" s="164"/>
      <c r="HB221" s="164"/>
      <c r="HC221" s="164"/>
      <c r="HD221" s="164"/>
      <c r="HE221" s="164"/>
      <c r="HF221" s="164"/>
      <c r="HG221" s="164">
        <f t="shared" si="490"/>
        <v>0</v>
      </c>
      <c r="HH221" s="164">
        <f>HP221-GV221</f>
        <v>0</v>
      </c>
      <c r="HI221" s="164"/>
      <c r="HJ221" s="164"/>
      <c r="HK221" s="164">
        <f t="shared" si="491"/>
        <v>0</v>
      </c>
      <c r="HL221" s="164">
        <f>IF221-GZ221</f>
        <v>0</v>
      </c>
      <c r="HM221" s="164"/>
      <c r="HN221" s="164"/>
      <c r="HO221" s="164">
        <f t="shared" si="492"/>
        <v>21803.31381</v>
      </c>
      <c r="HP221" s="164">
        <v>21803.31381</v>
      </c>
      <c r="HQ221" s="164"/>
      <c r="HR221" s="164"/>
      <c r="HS221" s="164">
        <f t="shared" si="493"/>
        <v>0</v>
      </c>
      <c r="HT221" s="164">
        <v>0</v>
      </c>
      <c r="HU221" s="164"/>
      <c r="HV221" s="164"/>
      <c r="HW221" s="164">
        <f t="shared" si="494"/>
        <v>0</v>
      </c>
      <c r="HX221" s="164">
        <f>IR221-HL221</f>
        <v>0</v>
      </c>
      <c r="HY221" s="164"/>
      <c r="HZ221" s="164"/>
      <c r="IA221" s="164">
        <f t="shared" si="495"/>
        <v>0</v>
      </c>
      <c r="IB221" s="164">
        <v>0</v>
      </c>
      <c r="IC221" s="164"/>
      <c r="ID221" s="164"/>
      <c r="IE221" s="169"/>
      <c r="IF221" s="170"/>
      <c r="IG221" s="170"/>
      <c r="IH221" s="170"/>
    </row>
    <row r="222" spans="1:249" s="171" customFormat="1" ht="25.5" hidden="1" customHeight="1" x14ac:dyDescent="0.25">
      <c r="B222" s="160"/>
      <c r="C222" s="174" t="s">
        <v>503</v>
      </c>
      <c r="D222" s="17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247"/>
      <c r="AN222" s="247"/>
      <c r="AO222" s="164"/>
      <c r="AP222" s="165"/>
      <c r="AQ222" s="165"/>
      <c r="AR222" s="165"/>
      <c r="AS222" s="164"/>
      <c r="AT222" s="164"/>
      <c r="AU222" s="164"/>
      <c r="AV222" s="164"/>
      <c r="AW222" s="164"/>
      <c r="AX222" s="164"/>
      <c r="AY222" s="164"/>
      <c r="AZ222" s="164"/>
      <c r="BA222" s="164"/>
      <c r="BB222" s="164"/>
      <c r="BC222" s="164"/>
      <c r="BD222" s="164"/>
      <c r="BE222" s="164"/>
      <c r="BF222" s="164"/>
      <c r="BG222" s="164"/>
      <c r="BH222" s="164"/>
      <c r="BI222" s="164"/>
      <c r="BJ222" s="164"/>
      <c r="BK222" s="164"/>
      <c r="BL222" s="144"/>
      <c r="BM222" s="144"/>
      <c r="BN222" s="144"/>
      <c r="BO222" s="144"/>
      <c r="BP222" s="144"/>
      <c r="BQ222" s="144"/>
      <c r="BR222" s="144"/>
      <c r="BS222" s="144"/>
      <c r="BT222" s="144"/>
      <c r="BU222" s="144"/>
      <c r="BV222" s="164"/>
      <c r="BW222" s="164"/>
      <c r="BX222" s="164"/>
      <c r="BY222" s="164"/>
      <c r="BZ222" s="164"/>
      <c r="CA222" s="164"/>
      <c r="CB222" s="164"/>
      <c r="CC222" s="164"/>
      <c r="CD222" s="164"/>
      <c r="CE222" s="164"/>
      <c r="CF222" s="144"/>
      <c r="CG222" s="164"/>
      <c r="CH222" s="164"/>
      <c r="CI222" s="164"/>
      <c r="CJ222" s="164"/>
      <c r="CK222" s="164"/>
      <c r="CL222" s="164"/>
      <c r="CM222" s="164"/>
      <c r="CN222" s="164"/>
      <c r="CO222" s="164"/>
      <c r="CP222" s="164"/>
      <c r="CQ222" s="164"/>
      <c r="CR222" s="164"/>
      <c r="CS222" s="164"/>
      <c r="CT222" s="164"/>
      <c r="CU222" s="164"/>
      <c r="CV222" s="164"/>
      <c r="CW222" s="164"/>
      <c r="CX222" s="164"/>
      <c r="CY222" s="164"/>
      <c r="CZ222" s="164"/>
      <c r="DA222" s="164"/>
      <c r="DB222" s="164"/>
      <c r="DC222" s="164"/>
      <c r="DD222" s="164"/>
      <c r="DE222" s="164"/>
      <c r="DF222" s="164"/>
      <c r="DG222" s="164"/>
      <c r="DH222" s="164"/>
      <c r="DI222" s="164"/>
      <c r="DJ222" s="164"/>
      <c r="DK222" s="164"/>
      <c r="DL222" s="164"/>
      <c r="DM222" s="164"/>
      <c r="DN222" s="164"/>
      <c r="DO222" s="164"/>
      <c r="DP222" s="164"/>
      <c r="DQ222" s="164"/>
      <c r="DR222" s="164"/>
      <c r="DS222" s="164"/>
      <c r="DT222" s="164"/>
      <c r="DU222" s="164"/>
      <c r="DV222" s="164"/>
      <c r="DW222" s="164"/>
      <c r="DX222" s="164"/>
      <c r="DY222" s="164"/>
      <c r="DZ222" s="164"/>
      <c r="EA222" s="164"/>
      <c r="EB222" s="164"/>
      <c r="EC222" s="164"/>
      <c r="ED222" s="164"/>
      <c r="EE222" s="164"/>
      <c r="EF222" s="164"/>
      <c r="EG222" s="164"/>
      <c r="EH222" s="164"/>
      <c r="EI222" s="164"/>
      <c r="EJ222" s="164"/>
      <c r="EK222" s="164"/>
      <c r="EL222" s="164"/>
      <c r="EM222" s="164"/>
      <c r="EN222" s="164"/>
      <c r="EO222" s="164"/>
      <c r="EP222" s="164"/>
      <c r="EQ222" s="164"/>
      <c r="ER222" s="164"/>
      <c r="ES222" s="164"/>
      <c r="ET222" s="164"/>
      <c r="EU222" s="164"/>
      <c r="EV222" s="164"/>
      <c r="EW222" s="164"/>
      <c r="EX222" s="164"/>
      <c r="EY222" s="164"/>
      <c r="EZ222" s="164"/>
      <c r="FA222" s="164"/>
      <c r="FB222" s="164"/>
      <c r="FC222" s="163">
        <f t="shared" si="501"/>
        <v>1995</v>
      </c>
      <c r="FD222" s="163">
        <v>1995</v>
      </c>
      <c r="FE222" s="163"/>
      <c r="FF222" s="163"/>
      <c r="FG222" s="163"/>
      <c r="FH222" s="163"/>
      <c r="FI222" s="163"/>
      <c r="FJ222" s="163"/>
      <c r="FK222" s="163"/>
      <c r="FL222" s="163"/>
      <c r="FM222" s="163"/>
      <c r="FN222" s="163"/>
      <c r="FO222" s="163"/>
      <c r="FP222" s="163"/>
      <c r="FQ222" s="163"/>
      <c r="FR222" s="163"/>
      <c r="FS222" s="163">
        <f t="shared" si="508"/>
        <v>0</v>
      </c>
      <c r="FT222" s="575">
        <f t="shared" si="506"/>
        <v>0</v>
      </c>
      <c r="FU222" s="163">
        <v>0</v>
      </c>
      <c r="FV222" s="575">
        <f t="shared" si="507"/>
        <v>0</v>
      </c>
      <c r="FW222" s="164"/>
      <c r="FX222" s="164"/>
      <c r="FY222" s="164"/>
      <c r="FZ222" s="164"/>
      <c r="GA222" s="163">
        <f t="shared" si="467"/>
        <v>0</v>
      </c>
      <c r="GB222" s="575">
        <f t="shared" si="503"/>
        <v>0</v>
      </c>
      <c r="GC222" s="163">
        <v>0</v>
      </c>
      <c r="GD222" s="575">
        <f t="shared" si="504"/>
        <v>0</v>
      </c>
      <c r="GE222" s="163"/>
      <c r="GF222" s="164"/>
      <c r="GG222" s="163"/>
      <c r="GH222" s="164"/>
      <c r="GI222" s="163">
        <f t="shared" si="468"/>
        <v>1995</v>
      </c>
      <c r="GJ222" s="575">
        <f t="shared" si="471"/>
        <v>1</v>
      </c>
      <c r="GK222" s="163">
        <v>1995</v>
      </c>
      <c r="GL222" s="575">
        <f t="shared" si="472"/>
        <v>1</v>
      </c>
      <c r="GM222" s="163"/>
      <c r="GN222" s="575"/>
      <c r="GO222" s="163"/>
      <c r="GP222" s="575"/>
      <c r="GQ222" s="164"/>
      <c r="GR222" s="164"/>
      <c r="GS222" s="164"/>
      <c r="GT222" s="164"/>
      <c r="GU222" s="164"/>
      <c r="GV222" s="164"/>
      <c r="GW222" s="164"/>
      <c r="GX222" s="164"/>
      <c r="GY222" s="164"/>
      <c r="GZ222" s="164"/>
      <c r="HA222" s="164"/>
      <c r="HB222" s="164"/>
      <c r="HC222" s="164"/>
      <c r="HD222" s="164"/>
      <c r="HE222" s="164"/>
      <c r="HF222" s="164"/>
      <c r="HG222" s="164"/>
      <c r="HH222" s="164"/>
      <c r="HI222" s="164"/>
      <c r="HJ222" s="164"/>
      <c r="HK222" s="164"/>
      <c r="HL222" s="164"/>
      <c r="HM222" s="164"/>
      <c r="HN222" s="164"/>
      <c r="HO222" s="164"/>
      <c r="HP222" s="164"/>
      <c r="HQ222" s="164"/>
      <c r="HR222" s="164"/>
      <c r="HS222" s="164"/>
      <c r="HT222" s="164"/>
      <c r="HU222" s="164"/>
      <c r="HV222" s="164"/>
      <c r="HW222" s="164"/>
      <c r="HX222" s="164"/>
      <c r="HY222" s="164"/>
      <c r="HZ222" s="164"/>
      <c r="IA222" s="164"/>
      <c r="IB222" s="164"/>
      <c r="IC222" s="164"/>
      <c r="ID222" s="164"/>
      <c r="IE222" s="169"/>
      <c r="IF222" s="170"/>
      <c r="IG222" s="170"/>
      <c r="IH222" s="170"/>
    </row>
    <row r="223" spans="1:249" s="171" customFormat="1" ht="122.25" hidden="1" customHeight="1" x14ac:dyDescent="0.25">
      <c r="B223" s="160"/>
      <c r="C223" s="174" t="s">
        <v>317</v>
      </c>
      <c r="D223" s="17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c r="AK223" s="164"/>
      <c r="AL223" s="164"/>
      <c r="AM223" s="175"/>
      <c r="AN223" s="175"/>
      <c r="AO223" s="164"/>
      <c r="AP223" s="165"/>
      <c r="AQ223" s="165"/>
      <c r="AR223" s="165"/>
      <c r="AS223" s="164"/>
      <c r="AT223" s="164"/>
      <c r="AU223" s="164"/>
      <c r="AV223" s="164"/>
      <c r="AW223" s="164"/>
      <c r="AX223" s="164"/>
      <c r="AY223" s="164"/>
      <c r="AZ223" s="164"/>
      <c r="BA223" s="164"/>
      <c r="BB223" s="164"/>
      <c r="BC223" s="164"/>
      <c r="BD223" s="164"/>
      <c r="BE223" s="164"/>
      <c r="BF223" s="164"/>
      <c r="BG223" s="164"/>
      <c r="BH223" s="164"/>
      <c r="BI223" s="164"/>
      <c r="BJ223" s="164"/>
      <c r="BK223" s="164"/>
      <c r="BL223" s="144"/>
      <c r="BM223" s="144"/>
      <c r="BN223" s="144"/>
      <c r="BO223" s="144"/>
      <c r="BP223" s="144"/>
      <c r="BQ223" s="144"/>
      <c r="BR223" s="144"/>
      <c r="BS223" s="144"/>
      <c r="BT223" s="144"/>
      <c r="BU223" s="144"/>
      <c r="BV223" s="164"/>
      <c r="BW223" s="164"/>
      <c r="BX223" s="164"/>
      <c r="BY223" s="164"/>
      <c r="BZ223" s="164"/>
      <c r="CA223" s="164"/>
      <c r="CB223" s="164"/>
      <c r="CC223" s="164"/>
      <c r="CD223" s="164"/>
      <c r="CE223" s="164"/>
      <c r="CF223" s="144"/>
      <c r="CG223" s="164"/>
      <c r="CH223" s="164"/>
      <c r="CI223" s="164"/>
      <c r="CJ223" s="164"/>
      <c r="CK223" s="164"/>
      <c r="CL223" s="164"/>
      <c r="CM223" s="164"/>
      <c r="CN223" s="164"/>
      <c r="CO223" s="164"/>
      <c r="CP223" s="164"/>
      <c r="CQ223" s="164"/>
      <c r="CR223" s="164"/>
      <c r="CS223" s="164"/>
      <c r="CT223" s="164"/>
      <c r="CU223" s="164"/>
      <c r="CV223" s="164"/>
      <c r="CW223" s="164"/>
      <c r="CX223" s="164"/>
      <c r="CY223" s="164"/>
      <c r="CZ223" s="164"/>
      <c r="DA223" s="164"/>
      <c r="DB223" s="164"/>
      <c r="DC223" s="164"/>
      <c r="DD223" s="164"/>
      <c r="DE223" s="164"/>
      <c r="DF223" s="164" t="e">
        <f t="shared" si="479"/>
        <v>#REF!</v>
      </c>
      <c r="DG223" s="164" t="e">
        <f>DJ223-CX223</f>
        <v>#REF!</v>
      </c>
      <c r="DH223" s="164"/>
      <c r="DI223" s="164" t="e">
        <f>DJ223</f>
        <v>#REF!</v>
      </c>
      <c r="DJ223" s="164" t="e">
        <f>#REF!</f>
        <v>#REF!</v>
      </c>
      <c r="DK223" s="164"/>
      <c r="DL223" s="164">
        <f t="shared" si="481"/>
        <v>0</v>
      </c>
      <c r="DM223" s="164"/>
      <c r="DN223" s="164"/>
      <c r="DO223" s="164"/>
      <c r="DP223" s="164"/>
      <c r="DQ223" s="164"/>
      <c r="DR223" s="164" t="e">
        <f t="shared" si="483"/>
        <v>#REF!</v>
      </c>
      <c r="DS223" s="164" t="e">
        <f>DJ223-DM223-DP223</f>
        <v>#REF!</v>
      </c>
      <c r="DT223" s="164"/>
      <c r="DU223" s="164"/>
      <c r="DV223" s="164"/>
      <c r="DW223" s="164"/>
      <c r="DX223" s="164"/>
      <c r="DY223" s="164"/>
      <c r="DZ223" s="164"/>
      <c r="EA223" s="164"/>
      <c r="EB223" s="164"/>
      <c r="EC223" s="164"/>
      <c r="ED223" s="164"/>
      <c r="EE223" s="164"/>
      <c r="EF223" s="164"/>
      <c r="EG223" s="164">
        <f t="shared" si="485"/>
        <v>14850</v>
      </c>
      <c r="EH223" s="164">
        <v>14850</v>
      </c>
      <c r="EI223" s="164"/>
      <c r="EJ223" s="164"/>
      <c r="EK223" s="164">
        <f t="shared" si="505"/>
        <v>-14850</v>
      </c>
      <c r="EL223" s="164">
        <f>ET223-EH223</f>
        <v>-14850</v>
      </c>
      <c r="EM223" s="164"/>
      <c r="EN223" s="164"/>
      <c r="EO223" s="164"/>
      <c r="EP223" s="164"/>
      <c r="EQ223" s="164"/>
      <c r="ER223" s="164"/>
      <c r="ES223" s="164">
        <f t="shared" si="486"/>
        <v>0</v>
      </c>
      <c r="ET223" s="164"/>
      <c r="EU223" s="164"/>
      <c r="EV223" s="164"/>
      <c r="EW223" s="164"/>
      <c r="EX223" s="164"/>
      <c r="EY223" s="164"/>
      <c r="EZ223" s="164"/>
      <c r="FA223" s="164"/>
      <c r="FB223" s="164"/>
      <c r="FC223" s="163">
        <f t="shared" si="501"/>
        <v>14033.25</v>
      </c>
      <c r="FD223" s="163">
        <f>14033.25</f>
        <v>14033.25</v>
      </c>
      <c r="FE223" s="163"/>
      <c r="FF223" s="163"/>
      <c r="FG223" s="163">
        <f t="shared" si="502"/>
        <v>0</v>
      </c>
      <c r="FH223" s="163">
        <f>FP223-FD223</f>
        <v>0</v>
      </c>
      <c r="FI223" s="163"/>
      <c r="FJ223" s="163"/>
      <c r="FK223" s="163"/>
      <c r="FL223" s="163"/>
      <c r="FM223" s="163"/>
      <c r="FN223" s="163"/>
      <c r="FO223" s="163">
        <f t="shared" si="488"/>
        <v>14033.25</v>
      </c>
      <c r="FP223" s="163">
        <f>FD223</f>
        <v>14033.25</v>
      </c>
      <c r="FQ223" s="163"/>
      <c r="FR223" s="163"/>
      <c r="FS223" s="163">
        <f t="shared" si="508"/>
        <v>0</v>
      </c>
      <c r="FT223" s="575">
        <f t="shared" si="506"/>
        <v>0</v>
      </c>
      <c r="FU223" s="163">
        <v>0</v>
      </c>
      <c r="FV223" s="575">
        <f t="shared" si="507"/>
        <v>0</v>
      </c>
      <c r="FW223" s="164"/>
      <c r="FX223" s="164"/>
      <c r="FY223" s="164"/>
      <c r="FZ223" s="164"/>
      <c r="GA223" s="163">
        <f t="shared" si="467"/>
        <v>0</v>
      </c>
      <c r="GB223" s="575">
        <f t="shared" si="503"/>
        <v>0</v>
      </c>
      <c r="GC223" s="163">
        <v>0</v>
      </c>
      <c r="GD223" s="575">
        <f t="shared" si="504"/>
        <v>0</v>
      </c>
      <c r="GE223" s="163"/>
      <c r="GF223" s="164"/>
      <c r="GG223" s="163"/>
      <c r="GH223" s="164"/>
      <c r="GI223" s="163">
        <f t="shared" si="468"/>
        <v>14033.25</v>
      </c>
      <c r="GJ223" s="575">
        <f t="shared" si="471"/>
        <v>1</v>
      </c>
      <c r="GK223" s="163">
        <f>[10]Лист1!$I$705</f>
        <v>14033.25</v>
      </c>
      <c r="GL223" s="575">
        <f t="shared" si="472"/>
        <v>1</v>
      </c>
      <c r="GM223" s="163"/>
      <c r="GN223" s="575"/>
      <c r="GO223" s="163"/>
      <c r="GP223" s="575"/>
      <c r="GQ223" s="164"/>
      <c r="GR223" s="164"/>
      <c r="GS223" s="164"/>
      <c r="GT223" s="164"/>
      <c r="GU223" s="164">
        <f t="shared" si="489"/>
        <v>0</v>
      </c>
      <c r="GV223" s="164">
        <v>0</v>
      </c>
      <c r="GW223" s="164"/>
      <c r="GX223" s="164"/>
      <c r="GY223" s="164"/>
      <c r="GZ223" s="164"/>
      <c r="HA223" s="164"/>
      <c r="HB223" s="164"/>
      <c r="HC223" s="164"/>
      <c r="HD223" s="164"/>
      <c r="HE223" s="164"/>
      <c r="HF223" s="164"/>
      <c r="HG223" s="164"/>
      <c r="HH223" s="164">
        <f>HP223-GV223</f>
        <v>0</v>
      </c>
      <c r="HI223" s="164"/>
      <c r="HJ223" s="164"/>
      <c r="HK223" s="164">
        <f t="shared" si="491"/>
        <v>0</v>
      </c>
      <c r="HL223" s="164">
        <f>IF223-GZ223</f>
        <v>0</v>
      </c>
      <c r="HM223" s="164"/>
      <c r="HN223" s="164"/>
      <c r="HO223" s="164">
        <f t="shared" si="492"/>
        <v>0</v>
      </c>
      <c r="HP223" s="164">
        <v>0</v>
      </c>
      <c r="HQ223" s="164"/>
      <c r="HR223" s="164"/>
      <c r="HS223" s="164">
        <f t="shared" si="493"/>
        <v>0</v>
      </c>
      <c r="HT223" s="164">
        <v>0</v>
      </c>
      <c r="HU223" s="164"/>
      <c r="HV223" s="164"/>
      <c r="HW223" s="164">
        <f t="shared" si="494"/>
        <v>0</v>
      </c>
      <c r="HX223" s="164">
        <f>IR223-HL223</f>
        <v>0</v>
      </c>
      <c r="HY223" s="164"/>
      <c r="HZ223" s="164"/>
      <c r="IA223" s="164">
        <f t="shared" si="495"/>
        <v>0</v>
      </c>
      <c r="IB223" s="164">
        <v>0</v>
      </c>
      <c r="IC223" s="164"/>
      <c r="ID223" s="164"/>
      <c r="IE223" s="185"/>
      <c r="IF223" s="170"/>
      <c r="IG223" s="170"/>
      <c r="IH223" s="170"/>
    </row>
    <row r="224" spans="1:249" s="251" customFormat="1" ht="64.5" customHeight="1" x14ac:dyDescent="0.25">
      <c r="A224" s="246" t="s">
        <v>85</v>
      </c>
      <c r="B224" s="241" t="s">
        <v>92</v>
      </c>
      <c r="C224" s="242" t="s">
        <v>318</v>
      </c>
      <c r="D224" s="242" t="s">
        <v>319</v>
      </c>
      <c r="E224" s="192" t="e">
        <f>#REF!+E225+E227+E226</f>
        <v>#REF!</v>
      </c>
      <c r="F224" s="192" t="e">
        <f>#REF!+F225+F227+F226</f>
        <v>#REF!</v>
      </c>
      <c r="G224" s="192" t="e">
        <f>#REF!+G225+G227+G226</f>
        <v>#REF!</v>
      </c>
      <c r="H224" s="192" t="e">
        <f>#REF!+H225+H227+H226</f>
        <v>#REF!</v>
      </c>
      <c r="I224" s="192" t="e">
        <f>#REF!+I225+I227+I226</f>
        <v>#REF!</v>
      </c>
      <c r="J224" s="192" t="e">
        <f>#REF!+J225+J227+J226</f>
        <v>#REF!</v>
      </c>
      <c r="K224" s="192" t="e">
        <f>#REF!+K225+K227+K226</f>
        <v>#REF!</v>
      </c>
      <c r="L224" s="192" t="e">
        <f>#REF!+L225+L227+L226</f>
        <v>#REF!</v>
      </c>
      <c r="M224" s="192" t="e">
        <f>#REF!+M225+M227+M226</f>
        <v>#REF!</v>
      </c>
      <c r="N224" s="192" t="e">
        <f>#REF!+N225+N227+N226</f>
        <v>#REF!</v>
      </c>
      <c r="O224" s="192" t="e">
        <f>#REF!+O225+O227+O226</f>
        <v>#REF!</v>
      </c>
      <c r="P224" s="192" t="e">
        <f>#REF!+P225+P227+P226</f>
        <v>#REF!</v>
      </c>
      <c r="Q224" s="192" t="e">
        <f>#REF!+Q225+Q227+Q226</f>
        <v>#REF!</v>
      </c>
      <c r="R224" s="192" t="e">
        <f>#REF!+R225+R227+R226</f>
        <v>#REF!</v>
      </c>
      <c r="S224" s="192" t="e">
        <f>#REF!+S225+S227+S226</f>
        <v>#REF!</v>
      </c>
      <c r="T224" s="192">
        <f t="shared" ref="T224:AH224" si="509">T225+T227+T226</f>
        <v>300000</v>
      </c>
      <c r="U224" s="192">
        <f t="shared" si="509"/>
        <v>200000</v>
      </c>
      <c r="V224" s="192">
        <f t="shared" si="509"/>
        <v>100000</v>
      </c>
      <c r="W224" s="192" t="e">
        <f t="shared" si="509"/>
        <v>#REF!</v>
      </c>
      <c r="X224" s="192" t="e">
        <f t="shared" si="509"/>
        <v>#REF!</v>
      </c>
      <c r="Y224" s="192">
        <f t="shared" si="509"/>
        <v>-100000</v>
      </c>
      <c r="Z224" s="192" t="e">
        <f t="shared" si="509"/>
        <v>#REF!</v>
      </c>
      <c r="AA224" s="192" t="e">
        <f t="shared" si="509"/>
        <v>#REF!</v>
      </c>
      <c r="AB224" s="192">
        <f t="shared" si="509"/>
        <v>0</v>
      </c>
      <c r="AC224" s="192">
        <f t="shared" si="509"/>
        <v>0</v>
      </c>
      <c r="AD224" s="192">
        <f t="shared" si="509"/>
        <v>0</v>
      </c>
      <c r="AE224" s="192">
        <f t="shared" si="509"/>
        <v>0</v>
      </c>
      <c r="AF224" s="192" t="e">
        <f t="shared" si="509"/>
        <v>#REF!</v>
      </c>
      <c r="AG224" s="192" t="e">
        <f t="shared" si="509"/>
        <v>#REF!</v>
      </c>
      <c r="AH224" s="192">
        <f t="shared" si="509"/>
        <v>0</v>
      </c>
      <c r="AI224" s="192">
        <v>0</v>
      </c>
      <c r="AJ224" s="192">
        <f>AJ225+AJ227+AJ226</f>
        <v>684705.52101999999</v>
      </c>
      <c r="AK224" s="192" t="e">
        <f>Z224-AJ224</f>
        <v>#REF!</v>
      </c>
      <c r="AL224" s="192" t="e">
        <f>AF224-AJ224</f>
        <v>#REF!</v>
      </c>
      <c r="AM224" s="758" t="s">
        <v>320</v>
      </c>
      <c r="AN224" s="248" t="s">
        <v>321</v>
      </c>
      <c r="AO224" s="192">
        <v>1</v>
      </c>
      <c r="AP224" s="249">
        <f>AP225+AP227</f>
        <v>1005555.7605100001</v>
      </c>
      <c r="AQ224" s="249">
        <f>AQ225+AQ227</f>
        <v>61971.978049999998</v>
      </c>
      <c r="AR224" s="249" t="e">
        <f>AR225+AR227</f>
        <v>#REF!</v>
      </c>
      <c r="AS224" s="192">
        <f>AT224+AU224</f>
        <v>500000</v>
      </c>
      <c r="AT224" s="192">
        <f>AT225+AT227+AT226</f>
        <v>500000</v>
      </c>
      <c r="AU224" s="192">
        <f>AU225+AU227+AU226</f>
        <v>0</v>
      </c>
      <c r="AV224" s="192">
        <f>AV225+AV227</f>
        <v>0</v>
      </c>
      <c r="AW224" s="192">
        <f>AW225+AW227</f>
        <v>0</v>
      </c>
      <c r="AX224" s="192">
        <f>AX225+AX227+AX226</f>
        <v>0</v>
      </c>
      <c r="AY224" s="192">
        <f>AZ224+BA224</f>
        <v>500000</v>
      </c>
      <c r="AZ224" s="192">
        <f t="shared" ref="AZ224:BG224" si="510">AZ225+AZ227+AZ226</f>
        <v>500000</v>
      </c>
      <c r="BA224" s="192">
        <f t="shared" si="510"/>
        <v>0</v>
      </c>
      <c r="BB224" s="192">
        <f t="shared" si="510"/>
        <v>500000</v>
      </c>
      <c r="BC224" s="192">
        <f t="shared" si="510"/>
        <v>500000</v>
      </c>
      <c r="BD224" s="192">
        <f t="shared" si="510"/>
        <v>0</v>
      </c>
      <c r="BE224" s="192">
        <f t="shared" si="510"/>
        <v>0</v>
      </c>
      <c r="BF224" s="192">
        <f t="shared" si="510"/>
        <v>0</v>
      </c>
      <c r="BG224" s="192">
        <f t="shared" si="510"/>
        <v>0</v>
      </c>
      <c r="BH224" s="192">
        <f>BI224+BJ224</f>
        <v>500000</v>
      </c>
      <c r="BI224" s="192">
        <f>BI225+BI227+BI226</f>
        <v>500000</v>
      </c>
      <c r="BJ224" s="192">
        <f>BJ225+BJ227+BJ226</f>
        <v>0</v>
      </c>
      <c r="BK224" s="192">
        <v>1</v>
      </c>
      <c r="BL224" s="153">
        <f>BL225+BL227</f>
        <v>500000</v>
      </c>
      <c r="BM224" s="192">
        <f>BN224+BO224</f>
        <v>0</v>
      </c>
      <c r="BN224" s="192">
        <f>BN225+BN227+BN226</f>
        <v>0</v>
      </c>
      <c r="BO224" s="192">
        <f>BO225+BO227+BO226</f>
        <v>0</v>
      </c>
      <c r="BP224" s="192">
        <f>BQ224+BR224</f>
        <v>0</v>
      </c>
      <c r="BQ224" s="192">
        <f>BQ225+BQ227+BQ226</f>
        <v>0</v>
      </c>
      <c r="BR224" s="192">
        <f>BR225+BR227+BR226</f>
        <v>0</v>
      </c>
      <c r="BS224" s="192">
        <f>BT224+BU224</f>
        <v>500000</v>
      </c>
      <c r="BT224" s="192">
        <f>BT225+BT227+BT226</f>
        <v>500000</v>
      </c>
      <c r="BU224" s="192">
        <f>BU225+BU227+BU226</f>
        <v>0</v>
      </c>
      <c r="BV224" s="192">
        <f>BW224+BX224</f>
        <v>500000</v>
      </c>
      <c r="BW224" s="192">
        <f>BW225+BW227+BW226</f>
        <v>500000</v>
      </c>
      <c r="BX224" s="192">
        <f>BX225+BX227+BX226</f>
        <v>0</v>
      </c>
      <c r="BY224" s="192">
        <f>BZ224+CA224</f>
        <v>0</v>
      </c>
      <c r="BZ224" s="224">
        <f>CC224-BI224</f>
        <v>0</v>
      </c>
      <c r="CA224" s="192">
        <f>CA225+CA227+CA226</f>
        <v>0</v>
      </c>
      <c r="CB224" s="192">
        <f>CC224+CD224</f>
        <v>500000</v>
      </c>
      <c r="CC224" s="192">
        <f>CC225+CC227+CC226</f>
        <v>500000</v>
      </c>
      <c r="CD224" s="192">
        <f>CD225+CD227+CD226</f>
        <v>0</v>
      </c>
      <c r="CE224" s="192">
        <v>1</v>
      </c>
      <c r="CF224" s="153">
        <f>CF225+CF227</f>
        <v>500000</v>
      </c>
      <c r="CG224" s="242"/>
      <c r="CH224" s="192">
        <f>CI224+CJ224</f>
        <v>525000</v>
      </c>
      <c r="CI224" s="192">
        <f>CI225+CI227+CI226</f>
        <v>525000</v>
      </c>
      <c r="CJ224" s="192">
        <f>CJ225+CJ227+CJ226</f>
        <v>0</v>
      </c>
      <c r="CK224" s="192">
        <f>CK225+CK227</f>
        <v>0</v>
      </c>
      <c r="CL224" s="192">
        <f>CL225+CL227</f>
        <v>0</v>
      </c>
      <c r="CM224" s="192">
        <f>CM225+CM227+CM226</f>
        <v>0</v>
      </c>
      <c r="CN224" s="192" t="e">
        <f>#REF!+CN227</f>
        <v>#REF!</v>
      </c>
      <c r="CO224" s="192" t="e">
        <f>#REF!+CO227</f>
        <v>#REF!</v>
      </c>
      <c r="CP224" s="192" t="e">
        <f>#REF!+CP227</f>
        <v>#REF!</v>
      </c>
      <c r="CQ224" s="192">
        <f>CR224+CS224</f>
        <v>525000</v>
      </c>
      <c r="CR224" s="192">
        <f>CR225+CR227+CR226</f>
        <v>525000</v>
      </c>
      <c r="CS224" s="192">
        <f>CS225+CS227+CS226</f>
        <v>0</v>
      </c>
      <c r="CT224" s="192">
        <f>CU224+CV224</f>
        <v>0</v>
      </c>
      <c r="CU224" s="192">
        <f>DA224-CR224</f>
        <v>0</v>
      </c>
      <c r="CV224" s="192">
        <f>CV225+CV227+CV226</f>
        <v>0</v>
      </c>
      <c r="CW224" s="192">
        <f>CX224+CY224</f>
        <v>474852.98285000003</v>
      </c>
      <c r="CX224" s="192">
        <f>CX225+CX227+CX226</f>
        <v>474852.98285000003</v>
      </c>
      <c r="CY224" s="192">
        <f>CY225+CY227+CY226</f>
        <v>0</v>
      </c>
      <c r="CZ224" s="192">
        <f>DA224+DB224</f>
        <v>525000</v>
      </c>
      <c r="DA224" s="192">
        <f>DA225+DA227+DA226</f>
        <v>525000</v>
      </c>
      <c r="DB224" s="192">
        <f>DB225+DB227+DB226</f>
        <v>0</v>
      </c>
      <c r="DC224" s="192"/>
      <c r="DD224" s="192"/>
      <c r="DE224" s="192"/>
      <c r="DF224" s="192">
        <f t="shared" si="479"/>
        <v>0</v>
      </c>
      <c r="DG224" s="192">
        <f>DG225+DG227+DG226</f>
        <v>0</v>
      </c>
      <c r="DH224" s="192">
        <f>DH225+DH227+DH226</f>
        <v>0</v>
      </c>
      <c r="DI224" s="192">
        <f>DJ224+DK224</f>
        <v>474852.98284999997</v>
      </c>
      <c r="DJ224" s="192">
        <f>DJ225+DJ227+DJ226</f>
        <v>474852.98284999997</v>
      </c>
      <c r="DK224" s="192">
        <f>DK225+DK227+DK226</f>
        <v>0</v>
      </c>
      <c r="DL224" s="192">
        <f t="shared" si="481"/>
        <v>366837.94537999999</v>
      </c>
      <c r="DM224" s="192">
        <f>DM225+DM227+DM226</f>
        <v>366837.94537999999</v>
      </c>
      <c r="DN224" s="192">
        <f>DN225+DN227+DN226</f>
        <v>0</v>
      </c>
      <c r="DO224" s="192">
        <f>DP224+DQ224</f>
        <v>57644.976209999993</v>
      </c>
      <c r="DP224" s="192">
        <f>DP225+DP227+DP226</f>
        <v>57644.976209999993</v>
      </c>
      <c r="DQ224" s="192">
        <f>DQ225+DQ227+DQ226</f>
        <v>0</v>
      </c>
      <c r="DR224" s="192">
        <f t="shared" si="483"/>
        <v>50370.061259999988</v>
      </c>
      <c r="DS224" s="192">
        <f>DS225+DS227+DS226</f>
        <v>50370.061259999988</v>
      </c>
      <c r="DT224" s="192">
        <f>DT225+DT227+DT226</f>
        <v>0</v>
      </c>
      <c r="DU224" s="192">
        <f>DV224+DW224</f>
        <v>465000</v>
      </c>
      <c r="DV224" s="192">
        <f>DV225+DV227+DV226</f>
        <v>465000</v>
      </c>
      <c r="DW224" s="192">
        <f>DW225+DW227+DW226</f>
        <v>0</v>
      </c>
      <c r="DX224" s="192">
        <f>DY224+DZ224</f>
        <v>525719.85242999997</v>
      </c>
      <c r="DY224" s="192">
        <f>DY225+DY227+DY226</f>
        <v>525719.85242999997</v>
      </c>
      <c r="DZ224" s="192">
        <f>DZ225+DZ227+DZ226</f>
        <v>0</v>
      </c>
      <c r="EA224" s="192"/>
      <c r="EB224" s="192"/>
      <c r="EC224" s="192"/>
      <c r="ED224" s="192">
        <f>EE224+EF224</f>
        <v>506197.38397999998</v>
      </c>
      <c r="EE224" s="192">
        <f>EE225+EE227</f>
        <v>506197.38397999998</v>
      </c>
      <c r="EF224" s="192"/>
      <c r="EG224" s="192">
        <f t="shared" si="485"/>
        <v>971197.38397999993</v>
      </c>
      <c r="EH224" s="192">
        <f>EH225+EH227</f>
        <v>971197.38397999993</v>
      </c>
      <c r="EI224" s="192"/>
      <c r="EJ224" s="192"/>
      <c r="EK224" s="192">
        <f t="shared" si="505"/>
        <v>-971197.38397999993</v>
      </c>
      <c r="EL224" s="192">
        <f>EL225+EL227</f>
        <v>-971197.38397999993</v>
      </c>
      <c r="EM224" s="192"/>
      <c r="EN224" s="192">
        <f>EN225+EN227+EN226</f>
        <v>0</v>
      </c>
      <c r="EO224" s="192">
        <f>EP224+ER224</f>
        <v>0</v>
      </c>
      <c r="EP224" s="192">
        <f>EP225+EP227</f>
        <v>0</v>
      </c>
      <c r="EQ224" s="192"/>
      <c r="ER224" s="192">
        <f>ER225+ER227+ER226</f>
        <v>0</v>
      </c>
      <c r="ES224" s="192">
        <f>ET224+EV224</f>
        <v>0</v>
      </c>
      <c r="ET224" s="192">
        <f>ET225+ET227</f>
        <v>0</v>
      </c>
      <c r="EU224" s="192"/>
      <c r="EV224" s="192"/>
      <c r="EW224" s="192">
        <f>EX224+EY224</f>
        <v>445719.85243000003</v>
      </c>
      <c r="EX224" s="192">
        <f>EX225+EX227+EX226</f>
        <v>445719.85243000003</v>
      </c>
      <c r="EY224" s="192">
        <f>EY225+EY227+EY226</f>
        <v>0</v>
      </c>
      <c r="EZ224" s="192" t="e">
        <f t="shared" ref="EZ224:EZ229" si="511">FA224</f>
        <v>#REF!</v>
      </c>
      <c r="FA224" s="192" t="e">
        <f>#REF!+FA225+FA226+FA227</f>
        <v>#REF!</v>
      </c>
      <c r="FB224" s="192"/>
      <c r="FC224" s="201">
        <f t="shared" si="501"/>
        <v>701176.53948000004</v>
      </c>
      <c r="FD224" s="152">
        <f>SUM(FD225:FD227)</f>
        <v>701176.53948000004</v>
      </c>
      <c r="FE224" s="201"/>
      <c r="FF224" s="201"/>
      <c r="FG224" s="201">
        <f>FH224+FJ224</f>
        <v>-328575.18208000006</v>
      </c>
      <c r="FH224" s="201">
        <f>FH225+FH227+FH226</f>
        <v>-328575.18208000006</v>
      </c>
      <c r="FI224" s="201"/>
      <c r="FJ224" s="201">
        <f>FJ225+FJ227+FJ226</f>
        <v>0</v>
      </c>
      <c r="FK224" s="201">
        <f>FL224+FN224</f>
        <v>0</v>
      </c>
      <c r="FL224" s="201">
        <f>FL225+FL227</f>
        <v>0</v>
      </c>
      <c r="FM224" s="201"/>
      <c r="FN224" s="201">
        <f>FN225+FN227+FN226</f>
        <v>0</v>
      </c>
      <c r="FO224" s="201">
        <f t="shared" si="488"/>
        <v>372601.35739999998</v>
      </c>
      <c r="FP224" s="201">
        <f>FP225+FP227</f>
        <v>372601.35739999998</v>
      </c>
      <c r="FQ224" s="201"/>
      <c r="FR224" s="201"/>
      <c r="FS224" s="152">
        <f t="shared" si="508"/>
        <v>247916.67376999999</v>
      </c>
      <c r="FT224" s="574">
        <f t="shared" si="506"/>
        <v>0.3535724026845759</v>
      </c>
      <c r="FU224" s="152">
        <f>SUM(FU225:FU227)</f>
        <v>247916.67376999999</v>
      </c>
      <c r="FV224" s="574">
        <f t="shared" si="507"/>
        <v>0.3535724026845759</v>
      </c>
      <c r="FW224" s="658"/>
      <c r="FX224" s="192"/>
      <c r="FY224" s="658"/>
      <c r="FZ224" s="192"/>
      <c r="GA224" s="152">
        <f t="shared" si="467"/>
        <v>231099.76940999998</v>
      </c>
      <c r="GB224" s="574">
        <f>GA224/FC224</f>
        <v>0.32958856493028993</v>
      </c>
      <c r="GC224" s="152">
        <f>SUM(GC225:GC227)</f>
        <v>231099.76940999998</v>
      </c>
      <c r="GD224" s="574">
        <f>GC224/FD224</f>
        <v>0.32958856493028993</v>
      </c>
      <c r="GE224" s="152"/>
      <c r="GF224" s="192"/>
      <c r="GG224" s="152"/>
      <c r="GH224" s="192"/>
      <c r="GI224" s="152">
        <f t="shared" si="468"/>
        <v>643556.74812</v>
      </c>
      <c r="GJ224" s="574">
        <f t="shared" si="471"/>
        <v>0.9178241311343196</v>
      </c>
      <c r="GK224" s="152">
        <f>SUM(GK225:GK227)</f>
        <v>643556.74812</v>
      </c>
      <c r="GL224" s="574">
        <f t="shared" si="472"/>
        <v>0.9178241311343196</v>
      </c>
      <c r="GM224" s="152"/>
      <c r="GN224" s="574"/>
      <c r="GO224" s="152"/>
      <c r="GP224" s="574"/>
      <c r="GQ224" s="192"/>
      <c r="GR224" s="192"/>
      <c r="GS224" s="192"/>
      <c r="GT224" s="192"/>
      <c r="GU224" s="192">
        <f t="shared" si="489"/>
        <v>688184.14298</v>
      </c>
      <c r="GV224" s="192">
        <f>GV225+GV227</f>
        <v>688184.14298</v>
      </c>
      <c r="GW224" s="192"/>
      <c r="GX224" s="192"/>
      <c r="GY224" s="192"/>
      <c r="GZ224" s="192"/>
      <c r="HA224" s="192"/>
      <c r="HB224" s="192"/>
      <c r="HC224" s="192"/>
      <c r="HD224" s="192"/>
      <c r="HE224" s="192"/>
      <c r="HF224" s="192"/>
      <c r="HG224" s="192">
        <f t="shared" ref="HG224:HG229" si="512">HH224</f>
        <v>-141697.15833999999</v>
      </c>
      <c r="HH224" s="192">
        <f>HH225+HH227</f>
        <v>-141697.15833999999</v>
      </c>
      <c r="HI224" s="192"/>
      <c r="HJ224" s="192"/>
      <c r="HK224" s="192">
        <f t="shared" si="491"/>
        <v>0</v>
      </c>
      <c r="HL224" s="192">
        <f>HL225+HL227</f>
        <v>0</v>
      </c>
      <c r="HM224" s="192"/>
      <c r="HN224" s="192"/>
      <c r="HO224" s="192">
        <f t="shared" si="492"/>
        <v>546486.98464000004</v>
      </c>
      <c r="HP224" s="192">
        <f>HP225+HP227</f>
        <v>546486.98464000004</v>
      </c>
      <c r="HQ224" s="192"/>
      <c r="HR224" s="192"/>
      <c r="HS224" s="192">
        <f t="shared" si="493"/>
        <v>530864.01924000005</v>
      </c>
      <c r="HT224" s="192">
        <f>HT225+HT227</f>
        <v>530864.01924000005</v>
      </c>
      <c r="HU224" s="192"/>
      <c r="HV224" s="192"/>
      <c r="HW224" s="192">
        <f t="shared" si="494"/>
        <v>-132291.77690999996</v>
      </c>
      <c r="HX224" s="192">
        <f>HX225+HX227</f>
        <v>-132291.77690999996</v>
      </c>
      <c r="HY224" s="192"/>
      <c r="HZ224" s="192"/>
      <c r="IA224" s="192">
        <f t="shared" si="495"/>
        <v>398572.24233000004</v>
      </c>
      <c r="IB224" s="192">
        <f>IB225+IB227</f>
        <v>398572.24233000004</v>
      </c>
      <c r="IC224" s="192"/>
      <c r="ID224" s="192"/>
      <c r="IE224" s="198" t="s">
        <v>322</v>
      </c>
      <c r="IF224" s="250"/>
      <c r="IG224" s="250"/>
      <c r="IH224" s="250"/>
    </row>
    <row r="225" spans="1:242" s="171" customFormat="1" ht="42" hidden="1" customHeight="1" x14ac:dyDescent="0.25">
      <c r="A225" s="253"/>
      <c r="B225" s="254"/>
      <c r="C225" s="174" t="s">
        <v>323</v>
      </c>
      <c r="D225" s="255" t="s">
        <v>324</v>
      </c>
      <c r="E225" s="164">
        <f t="shared" ref="E225:E230" si="513">F225+G225</f>
        <v>684285.17946000001</v>
      </c>
      <c r="F225" s="164">
        <v>684285.17946000001</v>
      </c>
      <c r="G225" s="164"/>
      <c r="H225" s="164">
        <f t="shared" ref="H225:H230" si="514">I225+J225</f>
        <v>-348163.87715000001</v>
      </c>
      <c r="I225" s="164">
        <f t="shared" ref="I225:J227" si="515">L225-F225</f>
        <v>-348163.87715000001</v>
      </c>
      <c r="J225" s="164">
        <f t="shared" si="515"/>
        <v>0</v>
      </c>
      <c r="K225" s="164">
        <f t="shared" ref="K225:K230" si="516">L225+M225</f>
        <v>336121.30231</v>
      </c>
      <c r="L225" s="164">
        <v>336121.30231</v>
      </c>
      <c r="M225" s="164"/>
      <c r="N225" s="164">
        <f t="shared" ref="N225:N230" si="517">O225+P225</f>
        <v>0</v>
      </c>
      <c r="O225" s="164">
        <f t="shared" ref="O225:P227" si="518">R225-L225</f>
        <v>0</v>
      </c>
      <c r="P225" s="164">
        <f t="shared" si="518"/>
        <v>0</v>
      </c>
      <c r="Q225" s="164">
        <f t="shared" ref="Q225:Q230" si="519">R225+S225</f>
        <v>336121.30231</v>
      </c>
      <c r="R225" s="164">
        <v>336121.30231</v>
      </c>
      <c r="S225" s="164"/>
      <c r="T225" s="164">
        <f t="shared" ref="T225:T230" si="520">U225+V225</f>
        <v>200000</v>
      </c>
      <c r="U225" s="164">
        <v>200000</v>
      </c>
      <c r="V225" s="164"/>
      <c r="W225" s="164">
        <f t="shared" ref="W225:W230" si="521">X225+Y225</f>
        <v>453276.37428999995</v>
      </c>
      <c r="X225" s="164">
        <f t="shared" ref="X225:Y227" si="522">AA225-U225</f>
        <v>453276.37428999995</v>
      </c>
      <c r="Y225" s="164">
        <f t="shared" si="522"/>
        <v>0</v>
      </c>
      <c r="Z225" s="164">
        <f t="shared" ref="Z225:Z230" si="523">AA225+AB225</f>
        <v>653276.37428999995</v>
      </c>
      <c r="AA225" s="164">
        <v>653276.37428999995</v>
      </c>
      <c r="AB225" s="164"/>
      <c r="AC225" s="164">
        <f t="shared" ref="AC225:AC230" si="524">AD225+AE225</f>
        <v>0</v>
      </c>
      <c r="AD225" s="164">
        <v>0</v>
      </c>
      <c r="AE225" s="164"/>
      <c r="AF225" s="164">
        <f t="shared" ref="AF225:AF230" si="525">AG225+AH225</f>
        <v>653276.37428999995</v>
      </c>
      <c r="AG225" s="164">
        <f>AA225+AD225</f>
        <v>653276.37428999995</v>
      </c>
      <c r="AH225" s="164"/>
      <c r="AI225" s="164">
        <v>0</v>
      </c>
      <c r="AJ225" s="164">
        <f>AA225</f>
        <v>653276.37428999995</v>
      </c>
      <c r="AK225" s="164">
        <f t="shared" ref="AK225:AK238" si="526">Z225-AJ225</f>
        <v>0</v>
      </c>
      <c r="AL225" s="164">
        <f>AF225-AJ225</f>
        <v>0</v>
      </c>
      <c r="AM225" s="758"/>
      <c r="AN225" s="164"/>
      <c r="AO225" s="164">
        <v>1</v>
      </c>
      <c r="AP225" s="164">
        <v>967185.25055</v>
      </c>
      <c r="AQ225" s="164"/>
      <c r="AR225" s="164">
        <f>AF225-AP225-AQ225</f>
        <v>-313908.87626000005</v>
      </c>
      <c r="AS225" s="164">
        <f t="shared" ref="AS225:AS230" si="527">AT225+AU225</f>
        <v>440000</v>
      </c>
      <c r="AT225" s="164">
        <v>440000</v>
      </c>
      <c r="AU225" s="164"/>
      <c r="AV225" s="164">
        <f t="shared" ref="AV225:AV238" si="528">AW225+AX225</f>
        <v>0</v>
      </c>
      <c r="AW225" s="164"/>
      <c r="AX225" s="164">
        <f>BA225-AU225</f>
        <v>0</v>
      </c>
      <c r="AY225" s="164">
        <f t="shared" ref="AY225:AY230" si="529">AZ225+BA225</f>
        <v>440000</v>
      </c>
      <c r="AZ225" s="164">
        <f>AT225</f>
        <v>440000</v>
      </c>
      <c r="BA225" s="164"/>
      <c r="BB225" s="164">
        <f t="shared" ref="BB225:BB230" si="530">BC225+BD225</f>
        <v>500000</v>
      </c>
      <c r="BC225" s="164">
        <v>500000</v>
      </c>
      <c r="BD225" s="164"/>
      <c r="BE225" s="164">
        <f t="shared" ref="BE225:BE230" si="531">BF225+BG225</f>
        <v>0</v>
      </c>
      <c r="BF225" s="164">
        <f t="shared" ref="BF225:BG227" si="532">BW225-BC225</f>
        <v>0</v>
      </c>
      <c r="BG225" s="164">
        <f t="shared" si="532"/>
        <v>0</v>
      </c>
      <c r="BH225" s="164">
        <f t="shared" ref="BH225:BH230" si="533">BI225+BJ225</f>
        <v>433643.65406999999</v>
      </c>
      <c r="BI225" s="164">
        <v>433643.65406999999</v>
      </c>
      <c r="BJ225" s="164"/>
      <c r="BK225" s="164">
        <v>1</v>
      </c>
      <c r="BL225" s="144">
        <f t="shared" ref="BL225:BL230" si="534">AY225</f>
        <v>440000</v>
      </c>
      <c r="BM225" s="144">
        <f>BN225+BO225</f>
        <v>0</v>
      </c>
      <c r="BN225" s="144"/>
      <c r="BO225" s="144"/>
      <c r="BP225" s="144"/>
      <c r="BQ225" s="144"/>
      <c r="BR225" s="144"/>
      <c r="BS225" s="144">
        <f>BT225+BU225</f>
        <v>440000</v>
      </c>
      <c r="BT225" s="144">
        <f>AZ225-BN225</f>
        <v>440000</v>
      </c>
      <c r="BU225" s="144"/>
      <c r="BV225" s="164">
        <f>BW225+BX225</f>
        <v>500000</v>
      </c>
      <c r="BW225" s="164">
        <v>500000</v>
      </c>
      <c r="BX225" s="164"/>
      <c r="BY225" s="164">
        <f t="shared" ref="BY225:BY230" si="535">BZ225+CA225</f>
        <v>0</v>
      </c>
      <c r="BZ225" s="164">
        <f>CC225-BI225</f>
        <v>0</v>
      </c>
      <c r="CA225" s="164">
        <f>CD225-BX225</f>
        <v>0</v>
      </c>
      <c r="CB225" s="164">
        <f>CC225+CD225</f>
        <v>433643.65406999999</v>
      </c>
      <c r="CC225" s="164">
        <v>433643.65406999999</v>
      </c>
      <c r="CD225" s="164"/>
      <c r="CE225" s="164">
        <v>1</v>
      </c>
      <c r="CF225" s="144">
        <f t="shared" ref="CF225:CF230" si="536">BV225</f>
        <v>500000</v>
      </c>
      <c r="CG225" s="164"/>
      <c r="CH225" s="164">
        <f t="shared" ref="CH225:CH230" si="537">CI225+CJ225</f>
        <v>462000</v>
      </c>
      <c r="CI225" s="164">
        <v>462000</v>
      </c>
      <c r="CJ225" s="164"/>
      <c r="CK225" s="164">
        <f t="shared" ref="CK225:CK238" si="538">CL225+CM225</f>
        <v>0</v>
      </c>
      <c r="CL225" s="164"/>
      <c r="CM225" s="164">
        <f>CS225-CJ225</f>
        <v>0</v>
      </c>
      <c r="CN225" s="164">
        <f t="shared" ref="CN225:CP226" si="539">CN226+CN229</f>
        <v>0</v>
      </c>
      <c r="CO225" s="164">
        <f t="shared" si="539"/>
        <v>0</v>
      </c>
      <c r="CP225" s="164">
        <f t="shared" si="539"/>
        <v>0</v>
      </c>
      <c r="CQ225" s="164">
        <f t="shared" ref="CQ225:CQ230" si="540">CR225+CS225</f>
        <v>462000</v>
      </c>
      <c r="CR225" s="164">
        <v>462000</v>
      </c>
      <c r="CS225" s="164"/>
      <c r="CT225" s="164">
        <f>CU225+CV225</f>
        <v>0</v>
      </c>
      <c r="CU225" s="164">
        <f>CA225</f>
        <v>0</v>
      </c>
      <c r="CV225" s="164"/>
      <c r="CW225" s="164">
        <f>CX225+CY225</f>
        <v>381118.73995000002</v>
      </c>
      <c r="CX225" s="164">
        <v>381118.73995000002</v>
      </c>
      <c r="CY225" s="164"/>
      <c r="CZ225" s="164">
        <f t="shared" ref="CZ225:CZ230" si="541">DA225+DB225</f>
        <v>462000</v>
      </c>
      <c r="DA225" s="164">
        <v>462000</v>
      </c>
      <c r="DB225" s="164"/>
      <c r="DC225" s="164"/>
      <c r="DD225" s="164"/>
      <c r="DE225" s="164"/>
      <c r="DF225" s="164">
        <f>DG225+DH225</f>
        <v>0</v>
      </c>
      <c r="DG225" s="164">
        <f>DJ225-CX225</f>
        <v>0</v>
      </c>
      <c r="DH225" s="164"/>
      <c r="DI225" s="164">
        <f>DJ225+DK225</f>
        <v>381118.73994999996</v>
      </c>
      <c r="DJ225" s="164">
        <f>405765.7571-24647.01715</f>
        <v>381118.73994999996</v>
      </c>
      <c r="DK225" s="164"/>
      <c r="DL225" s="164">
        <f>DM225+DN225</f>
        <v>326366.59788999998</v>
      </c>
      <c r="DM225" s="164">
        <v>326366.59788999998</v>
      </c>
      <c r="DN225" s="164"/>
      <c r="DO225" s="164">
        <f>DP225+DQ225</f>
        <v>23399.359209999999</v>
      </c>
      <c r="DP225" s="164">
        <v>23399.359209999999</v>
      </c>
      <c r="DQ225" s="164"/>
      <c r="DR225" s="164">
        <f>DS225+DT225</f>
        <v>31352.782849999985</v>
      </c>
      <c r="DS225" s="164">
        <f>DJ225-DM225-DP225</f>
        <v>31352.782849999985</v>
      </c>
      <c r="DT225" s="164"/>
      <c r="DU225" s="164">
        <f t="shared" ref="DU225:DU230" si="542">DV225+DW225</f>
        <v>428699.49527999997</v>
      </c>
      <c r="DV225" s="164">
        <f>458699.49528-30000</f>
        <v>428699.49527999997</v>
      </c>
      <c r="DW225" s="164"/>
      <c r="DX225" s="164">
        <f t="shared" ref="DX225:DX230" si="543">DY225+DZ225</f>
        <v>462719.85243000003</v>
      </c>
      <c r="DY225" s="164">
        <v>462719.85243000003</v>
      </c>
      <c r="DZ225" s="164"/>
      <c r="EA225" s="164"/>
      <c r="EB225" s="164"/>
      <c r="EC225" s="164"/>
      <c r="ED225" s="164">
        <f>EE225</f>
        <v>435522.72665999999</v>
      </c>
      <c r="EE225" s="164">
        <f>EH225-DV225</f>
        <v>435522.72665999999</v>
      </c>
      <c r="EF225" s="164"/>
      <c r="EG225" s="164">
        <f t="shared" si="485"/>
        <v>864222.22193999996</v>
      </c>
      <c r="EH225" s="164">
        <v>864222.22193999996</v>
      </c>
      <c r="EI225" s="164"/>
      <c r="EJ225" s="164"/>
      <c r="EK225" s="164">
        <f>EL225+EN225</f>
        <v>-864222.22193999996</v>
      </c>
      <c r="EL225" s="164">
        <f>ET225-EH225</f>
        <v>-864222.22193999996</v>
      </c>
      <c r="EM225" s="164"/>
      <c r="EN225" s="164"/>
      <c r="EO225" s="164">
        <f>EP225+ER225</f>
        <v>0</v>
      </c>
      <c r="EP225" s="164"/>
      <c r="EQ225" s="164"/>
      <c r="ER225" s="164"/>
      <c r="ES225" s="164">
        <f>ET225+EV225</f>
        <v>0</v>
      </c>
      <c r="ET225" s="164"/>
      <c r="EU225" s="164"/>
      <c r="EV225" s="164"/>
      <c r="EW225" s="164">
        <f t="shared" ref="EW225:EW230" si="544">EX225+EY225</f>
        <v>412719.85243000003</v>
      </c>
      <c r="EX225" s="164">
        <f>462719.85243-50000</f>
        <v>412719.85243000003</v>
      </c>
      <c r="EY225" s="164"/>
      <c r="EZ225" s="164">
        <f t="shared" si="511"/>
        <v>137118.26869</v>
      </c>
      <c r="FA225" s="164">
        <f>FD225-EX225</f>
        <v>137118.26869</v>
      </c>
      <c r="FB225" s="164"/>
      <c r="FC225" s="163">
        <f t="shared" si="501"/>
        <v>549838.12112000003</v>
      </c>
      <c r="FD225" s="163">
        <f>549838.12112</f>
        <v>549838.12112000003</v>
      </c>
      <c r="FE225" s="163"/>
      <c r="FF225" s="163"/>
      <c r="FG225" s="163">
        <f>FH225+FJ225</f>
        <v>-257973.01447000005</v>
      </c>
      <c r="FH225" s="163">
        <f>FP225-FD225</f>
        <v>-257973.01447000005</v>
      </c>
      <c r="FI225" s="163"/>
      <c r="FJ225" s="163"/>
      <c r="FK225" s="163">
        <f>FL225+FN225</f>
        <v>0</v>
      </c>
      <c r="FL225" s="163"/>
      <c r="FM225" s="163"/>
      <c r="FN225" s="163"/>
      <c r="FO225" s="163">
        <f t="shared" si="488"/>
        <v>291865.10664999997</v>
      </c>
      <c r="FP225" s="163">
        <f>FD225+80326.98553-338300</f>
        <v>291865.10664999997</v>
      </c>
      <c r="FQ225" s="163"/>
      <c r="FR225" s="163"/>
      <c r="FS225" s="163">
        <f t="shared" si="508"/>
        <v>201218.60991999999</v>
      </c>
      <c r="FT225" s="575">
        <f t="shared" si="506"/>
        <v>0.3659597292201659</v>
      </c>
      <c r="FU225" s="163">
        <v>201218.60991999999</v>
      </c>
      <c r="FV225" s="575">
        <f t="shared" si="507"/>
        <v>0.3659597292201659</v>
      </c>
      <c r="FW225" s="164"/>
      <c r="FX225" s="164"/>
      <c r="FY225" s="164"/>
      <c r="FZ225" s="164"/>
      <c r="GA225" s="163">
        <f>GC225</f>
        <v>184216.35204999999</v>
      </c>
      <c r="GB225" s="575">
        <f>GA225/FC225</f>
        <v>0.33503743188041973</v>
      </c>
      <c r="GC225" s="163">
        <v>184216.35204999999</v>
      </c>
      <c r="GD225" s="575">
        <f>GC225/FD225</f>
        <v>0.33503743188041973</v>
      </c>
      <c r="GE225" s="163"/>
      <c r="GF225" s="164"/>
      <c r="GG225" s="163"/>
      <c r="GH225" s="164"/>
      <c r="GI225" s="163">
        <f>GK225</f>
        <v>507189.79488</v>
      </c>
      <c r="GJ225" s="575">
        <f t="shared" si="471"/>
        <v>0.92243475924672713</v>
      </c>
      <c r="GK225" s="163">
        <v>507189.79488</v>
      </c>
      <c r="GL225" s="575">
        <f t="shared" si="472"/>
        <v>0.92243475924672713</v>
      </c>
      <c r="GM225" s="163"/>
      <c r="GN225" s="575"/>
      <c r="GO225" s="163"/>
      <c r="GP225" s="575"/>
      <c r="GQ225" s="164"/>
      <c r="GR225" s="164"/>
      <c r="GS225" s="164"/>
      <c r="GT225" s="164"/>
      <c r="GU225" s="164">
        <f t="shared" si="489"/>
        <v>571267.75162</v>
      </c>
      <c r="GV225" s="164">
        <v>571267.75162</v>
      </c>
      <c r="GW225" s="164"/>
      <c r="GX225" s="164"/>
      <c r="GY225" s="164"/>
      <c r="GZ225" s="164"/>
      <c r="HA225" s="164"/>
      <c r="HB225" s="164"/>
      <c r="HC225" s="164"/>
      <c r="HD225" s="164"/>
      <c r="HE225" s="164"/>
      <c r="HF225" s="164"/>
      <c r="HG225" s="164">
        <f t="shared" si="512"/>
        <v>-139300</v>
      </c>
      <c r="HH225" s="164">
        <f>HP225-GV225</f>
        <v>-139300</v>
      </c>
      <c r="HI225" s="164"/>
      <c r="HJ225" s="164"/>
      <c r="HK225" s="164">
        <f t="shared" si="491"/>
        <v>0</v>
      </c>
      <c r="HL225" s="164">
        <f>IF225-GZ225</f>
        <v>0</v>
      </c>
      <c r="HM225" s="164"/>
      <c r="HN225" s="164"/>
      <c r="HO225" s="164">
        <f t="shared" si="492"/>
        <v>431967.75162</v>
      </c>
      <c r="HP225" s="164">
        <f>GV225-HH233</f>
        <v>431967.75162</v>
      </c>
      <c r="HQ225" s="164"/>
      <c r="HR225" s="164"/>
      <c r="HS225" s="164">
        <f t="shared" si="493"/>
        <v>440864.01923999999</v>
      </c>
      <c r="HT225" s="164">
        <v>440864.01923999999</v>
      </c>
      <c r="HU225" s="164"/>
      <c r="HV225" s="164"/>
      <c r="HW225" s="164">
        <f t="shared" si="494"/>
        <v>-129801.52467999997</v>
      </c>
      <c r="HX225" s="164">
        <f t="shared" ref="HX225:HX230" si="545">IB225-HT225</f>
        <v>-129801.52467999997</v>
      </c>
      <c r="HY225" s="164"/>
      <c r="HZ225" s="164"/>
      <c r="IA225" s="164">
        <f t="shared" si="495"/>
        <v>311062.49456000002</v>
      </c>
      <c r="IB225" s="164">
        <f>HT225-HX233</f>
        <v>311062.49456000002</v>
      </c>
      <c r="IC225" s="164"/>
      <c r="ID225" s="164"/>
      <c r="IE225" s="169"/>
      <c r="IF225" s="170"/>
      <c r="IG225" s="170"/>
      <c r="IH225" s="170"/>
    </row>
    <row r="226" spans="1:242" s="171" customFormat="1" ht="41.25" hidden="1" customHeight="1" x14ac:dyDescent="0.25">
      <c r="A226" s="253"/>
      <c r="B226" s="160"/>
      <c r="C226" s="174" t="s">
        <v>491</v>
      </c>
      <c r="D226" s="255"/>
      <c r="E226" s="164">
        <f t="shared" si="513"/>
        <v>0</v>
      </c>
      <c r="F226" s="164"/>
      <c r="G226" s="164"/>
      <c r="H226" s="164">
        <f t="shared" si="514"/>
        <v>313878.32248999999</v>
      </c>
      <c r="I226" s="164">
        <f t="shared" si="515"/>
        <v>313878.32248999999</v>
      </c>
      <c r="J226" s="164">
        <f t="shared" si="515"/>
        <v>0</v>
      </c>
      <c r="K226" s="164">
        <f t="shared" si="516"/>
        <v>313878.32248999999</v>
      </c>
      <c r="L226" s="164">
        <v>313878.32248999999</v>
      </c>
      <c r="M226" s="164"/>
      <c r="N226" s="164">
        <f t="shared" si="517"/>
        <v>0</v>
      </c>
      <c r="O226" s="164">
        <f t="shared" si="518"/>
        <v>0</v>
      </c>
      <c r="P226" s="164">
        <f t="shared" si="518"/>
        <v>0</v>
      </c>
      <c r="Q226" s="164">
        <f t="shared" si="519"/>
        <v>313878.32248999999</v>
      </c>
      <c r="R226" s="164">
        <v>313878.32248999999</v>
      </c>
      <c r="S226" s="164"/>
      <c r="T226" s="164">
        <f t="shared" si="520"/>
        <v>0</v>
      </c>
      <c r="U226" s="164"/>
      <c r="V226" s="164"/>
      <c r="W226" s="164">
        <f t="shared" si="521"/>
        <v>0</v>
      </c>
      <c r="X226" s="164">
        <f t="shared" si="522"/>
        <v>0</v>
      </c>
      <c r="Y226" s="164">
        <f t="shared" si="522"/>
        <v>0</v>
      </c>
      <c r="Z226" s="164">
        <f t="shared" si="523"/>
        <v>0</v>
      </c>
      <c r="AA226" s="164"/>
      <c r="AB226" s="164"/>
      <c r="AC226" s="164">
        <f t="shared" si="524"/>
        <v>0</v>
      </c>
      <c r="AD226" s="164"/>
      <c r="AE226" s="164"/>
      <c r="AF226" s="164">
        <f t="shared" si="525"/>
        <v>0</v>
      </c>
      <c r="AG226" s="164">
        <f>AA226+AD226</f>
        <v>0</v>
      </c>
      <c r="AH226" s="164"/>
      <c r="AI226" s="164">
        <v>0</v>
      </c>
      <c r="AJ226" s="164"/>
      <c r="AK226" s="164">
        <f t="shared" si="526"/>
        <v>0</v>
      </c>
      <c r="AL226" s="164">
        <f>AA226-AK226</f>
        <v>0</v>
      </c>
      <c r="AM226" s="758"/>
      <c r="AN226" s="164"/>
      <c r="AO226" s="164">
        <v>1</v>
      </c>
      <c r="AP226" s="164"/>
      <c r="AQ226" s="164"/>
      <c r="AR226" s="164"/>
      <c r="AS226" s="164">
        <f t="shared" si="527"/>
        <v>0</v>
      </c>
      <c r="AT226" s="164">
        <f>AJ226</f>
        <v>0</v>
      </c>
      <c r="AU226" s="164"/>
      <c r="AV226" s="164">
        <f t="shared" si="528"/>
        <v>0</v>
      </c>
      <c r="AW226" s="164">
        <f>AZ226-AT226</f>
        <v>0</v>
      </c>
      <c r="AX226" s="164">
        <f>BA226-AU226</f>
        <v>0</v>
      </c>
      <c r="AY226" s="164">
        <f t="shared" si="529"/>
        <v>0</v>
      </c>
      <c r="AZ226" s="164">
        <f>AT226</f>
        <v>0</v>
      </c>
      <c r="BA226" s="164"/>
      <c r="BB226" s="164">
        <f t="shared" si="530"/>
        <v>0</v>
      </c>
      <c r="BC226" s="164"/>
      <c r="BD226" s="164"/>
      <c r="BE226" s="164">
        <f t="shared" si="531"/>
        <v>0</v>
      </c>
      <c r="BF226" s="164">
        <f t="shared" si="532"/>
        <v>0</v>
      </c>
      <c r="BG226" s="164">
        <f t="shared" si="532"/>
        <v>0</v>
      </c>
      <c r="BH226" s="164">
        <f t="shared" si="533"/>
        <v>0</v>
      </c>
      <c r="BI226" s="164">
        <f>BC226</f>
        <v>0</v>
      </c>
      <c r="BJ226" s="164"/>
      <c r="BK226" s="164">
        <v>1</v>
      </c>
      <c r="BL226" s="144">
        <f t="shared" si="534"/>
        <v>0</v>
      </c>
      <c r="BM226" s="144"/>
      <c r="BN226" s="144"/>
      <c r="BO226" s="144"/>
      <c r="BP226" s="144"/>
      <c r="BQ226" s="144"/>
      <c r="BR226" s="144"/>
      <c r="BS226" s="144">
        <f>BT226+BU226</f>
        <v>0</v>
      </c>
      <c r="BT226" s="144"/>
      <c r="BU226" s="144"/>
      <c r="BV226" s="164">
        <f>BW226+BX226</f>
        <v>0</v>
      </c>
      <c r="BW226" s="164"/>
      <c r="BX226" s="164"/>
      <c r="BY226" s="164">
        <f t="shared" si="535"/>
        <v>0</v>
      </c>
      <c r="BZ226" s="164">
        <f>CC226-BW226</f>
        <v>0</v>
      </c>
      <c r="CA226" s="164">
        <f>CD226-BX226</f>
        <v>0</v>
      </c>
      <c r="CB226" s="164">
        <f>CC226+CD226</f>
        <v>0</v>
      </c>
      <c r="CC226" s="164">
        <f>BI226</f>
        <v>0</v>
      </c>
      <c r="CD226" s="164"/>
      <c r="CE226" s="164">
        <v>1</v>
      </c>
      <c r="CF226" s="144">
        <f t="shared" si="536"/>
        <v>0</v>
      </c>
      <c r="CG226" s="164"/>
      <c r="CH226" s="164">
        <f t="shared" si="537"/>
        <v>0</v>
      </c>
      <c r="CI226" s="164">
        <f>BY226</f>
        <v>0</v>
      </c>
      <c r="CJ226" s="164"/>
      <c r="CK226" s="164">
        <f t="shared" si="538"/>
        <v>0</v>
      </c>
      <c r="CL226" s="164">
        <f>CR226-CI226</f>
        <v>0</v>
      </c>
      <c r="CM226" s="164">
        <f>CS226-CJ226</f>
        <v>0</v>
      </c>
      <c r="CN226" s="164">
        <f t="shared" si="539"/>
        <v>0</v>
      </c>
      <c r="CO226" s="164">
        <f t="shared" si="539"/>
        <v>0</v>
      </c>
      <c r="CP226" s="164">
        <f t="shared" si="539"/>
        <v>0</v>
      </c>
      <c r="CQ226" s="164">
        <f t="shared" si="540"/>
        <v>0</v>
      </c>
      <c r="CR226" s="164">
        <v>0</v>
      </c>
      <c r="CS226" s="164"/>
      <c r="CT226" s="164">
        <f>CU226+CV226</f>
        <v>0</v>
      </c>
      <c r="CU226" s="164">
        <f>CA226</f>
        <v>0</v>
      </c>
      <c r="CV226" s="164"/>
      <c r="CW226" s="164">
        <f>CX226+CY226</f>
        <v>71.220320000000001</v>
      </c>
      <c r="CX226" s="164">
        <v>71.220320000000001</v>
      </c>
      <c r="CY226" s="164"/>
      <c r="CZ226" s="164">
        <f t="shared" si="541"/>
        <v>0</v>
      </c>
      <c r="DA226" s="164">
        <v>0</v>
      </c>
      <c r="DB226" s="164"/>
      <c r="DC226" s="164"/>
      <c r="DD226" s="164"/>
      <c r="DE226" s="164"/>
      <c r="DF226" s="164">
        <f>DG226+DH226</f>
        <v>0</v>
      </c>
      <c r="DG226" s="164">
        <f>DJ226-CX226</f>
        <v>0</v>
      </c>
      <c r="DH226" s="164"/>
      <c r="DI226" s="164">
        <f>DJ226+DK226</f>
        <v>71.220320000000001</v>
      </c>
      <c r="DJ226" s="164">
        <v>71.220320000000001</v>
      </c>
      <c r="DK226" s="164"/>
      <c r="DL226" s="164">
        <f>DM226+DN226</f>
        <v>71.220320000000001</v>
      </c>
      <c r="DM226" s="164">
        <f>DJ226</f>
        <v>71.220320000000001</v>
      </c>
      <c r="DN226" s="164"/>
      <c r="DO226" s="164">
        <f>DP226+DQ226</f>
        <v>0</v>
      </c>
      <c r="DP226" s="164">
        <f>CV226</f>
        <v>0</v>
      </c>
      <c r="DQ226" s="164"/>
      <c r="DR226" s="164">
        <f>DS226+DT226</f>
        <v>0</v>
      </c>
      <c r="DS226" s="164">
        <f>DJ226-DM226-DP226</f>
        <v>0</v>
      </c>
      <c r="DT226" s="164"/>
      <c r="DU226" s="164">
        <f t="shared" si="542"/>
        <v>0</v>
      </c>
      <c r="DV226" s="164">
        <v>0</v>
      </c>
      <c r="DW226" s="164"/>
      <c r="DX226" s="164">
        <f t="shared" si="543"/>
        <v>0</v>
      </c>
      <c r="DY226" s="164">
        <v>0</v>
      </c>
      <c r="DZ226" s="164"/>
      <c r="EA226" s="164"/>
      <c r="EB226" s="164"/>
      <c r="EC226" s="164"/>
      <c r="ED226" s="164">
        <f>EE226</f>
        <v>0</v>
      </c>
      <c r="EE226" s="164"/>
      <c r="EF226" s="164"/>
      <c r="EG226" s="164">
        <f t="shared" si="485"/>
        <v>0</v>
      </c>
      <c r="EH226" s="164">
        <v>0</v>
      </c>
      <c r="EI226" s="164"/>
      <c r="EJ226" s="164"/>
      <c r="EK226" s="164">
        <f>EL226+EN226</f>
        <v>0</v>
      </c>
      <c r="EL226" s="164">
        <f>ET226-EH226</f>
        <v>0</v>
      </c>
      <c r="EM226" s="164"/>
      <c r="EN226" s="164"/>
      <c r="EO226" s="164">
        <f>EP226+ER226</f>
        <v>0</v>
      </c>
      <c r="EP226" s="164"/>
      <c r="EQ226" s="164"/>
      <c r="ER226" s="164"/>
      <c r="ES226" s="164">
        <f>ET226+EV226</f>
        <v>0</v>
      </c>
      <c r="ET226" s="164"/>
      <c r="EU226" s="164"/>
      <c r="EV226" s="164"/>
      <c r="EW226" s="164">
        <f t="shared" si="544"/>
        <v>0</v>
      </c>
      <c r="EX226" s="164">
        <v>0</v>
      </c>
      <c r="EY226" s="164"/>
      <c r="EZ226" s="164">
        <f t="shared" si="511"/>
        <v>58554.337579999999</v>
      </c>
      <c r="FA226" s="164">
        <f>FD226-EX226</f>
        <v>58554.337579999999</v>
      </c>
      <c r="FB226" s="164"/>
      <c r="FC226" s="163">
        <f t="shared" si="501"/>
        <v>58554.337579999999</v>
      </c>
      <c r="FD226" s="163">
        <v>58554.337579999999</v>
      </c>
      <c r="FE226" s="163"/>
      <c r="FF226" s="163"/>
      <c r="FG226" s="163">
        <f>FH226+FJ226</f>
        <v>-58554.337579999999</v>
      </c>
      <c r="FH226" s="163">
        <f>FP226-FD226</f>
        <v>-58554.337579999999</v>
      </c>
      <c r="FI226" s="163"/>
      <c r="FJ226" s="163"/>
      <c r="FK226" s="163">
        <f>FL226+FN226</f>
        <v>0</v>
      </c>
      <c r="FL226" s="163"/>
      <c r="FM226" s="163"/>
      <c r="FN226" s="163"/>
      <c r="FO226" s="163">
        <f t="shared" si="488"/>
        <v>0</v>
      </c>
      <c r="FP226" s="163">
        <f>EH226</f>
        <v>0</v>
      </c>
      <c r="FQ226" s="163"/>
      <c r="FR226" s="163"/>
      <c r="FS226" s="163">
        <f t="shared" si="508"/>
        <v>17751.905770000001</v>
      </c>
      <c r="FT226" s="575">
        <f t="shared" si="506"/>
        <v>0.30316978218302648</v>
      </c>
      <c r="FU226" s="163">
        <v>17751.905770000001</v>
      </c>
      <c r="FV226" s="575">
        <f t="shared" si="507"/>
        <v>0.30316978218302648</v>
      </c>
      <c r="FW226" s="164"/>
      <c r="FX226" s="164"/>
      <c r="FY226" s="164"/>
      <c r="FZ226" s="164"/>
      <c r="GA226" s="163">
        <f>GC226</f>
        <v>15976.715190000001</v>
      </c>
      <c r="GB226" s="575">
        <f>GA226/FC226</f>
        <v>0.27285280391348937</v>
      </c>
      <c r="GC226" s="163">
        <v>15976.715190000001</v>
      </c>
      <c r="GD226" s="575">
        <f>GC226/FD226</f>
        <v>0.27285280391348937</v>
      </c>
      <c r="GE226" s="163"/>
      <c r="GF226" s="164"/>
      <c r="GG226" s="163"/>
      <c r="GH226" s="164"/>
      <c r="GI226" s="163">
        <f>GK226</f>
        <v>58554.337579999999</v>
      </c>
      <c r="GJ226" s="575">
        <f t="shared" si="471"/>
        <v>1</v>
      </c>
      <c r="GK226" s="163">
        <v>58554.337579999999</v>
      </c>
      <c r="GL226" s="575">
        <f t="shared" si="472"/>
        <v>1</v>
      </c>
      <c r="GM226" s="163"/>
      <c r="GN226" s="575"/>
      <c r="GO226" s="163"/>
      <c r="GP226" s="575"/>
      <c r="GQ226" s="164"/>
      <c r="GR226" s="164"/>
      <c r="GS226" s="164"/>
      <c r="GT226" s="164"/>
      <c r="GU226" s="164">
        <f t="shared" si="489"/>
        <v>0</v>
      </c>
      <c r="GV226" s="164">
        <v>0</v>
      </c>
      <c r="GW226" s="164"/>
      <c r="GX226" s="164"/>
      <c r="GY226" s="164"/>
      <c r="GZ226" s="164"/>
      <c r="HA226" s="164"/>
      <c r="HB226" s="164"/>
      <c r="HC226" s="164"/>
      <c r="HD226" s="164"/>
      <c r="HE226" s="164"/>
      <c r="HF226" s="164"/>
      <c r="HG226" s="164">
        <f t="shared" si="512"/>
        <v>0</v>
      </c>
      <c r="HH226" s="164">
        <f>HP226-GV226</f>
        <v>0</v>
      </c>
      <c r="HI226" s="164"/>
      <c r="HJ226" s="164"/>
      <c r="HK226" s="164">
        <f t="shared" si="491"/>
        <v>0</v>
      </c>
      <c r="HL226" s="164">
        <f>IF226-GZ226</f>
        <v>0</v>
      </c>
      <c r="HM226" s="164"/>
      <c r="HN226" s="164"/>
      <c r="HO226" s="164">
        <f t="shared" si="492"/>
        <v>0</v>
      </c>
      <c r="HP226" s="164">
        <f>GV226</f>
        <v>0</v>
      </c>
      <c r="HQ226" s="164"/>
      <c r="HR226" s="164"/>
      <c r="HS226" s="164">
        <f t="shared" si="493"/>
        <v>0</v>
      </c>
      <c r="HT226" s="164">
        <v>0</v>
      </c>
      <c r="HU226" s="164"/>
      <c r="HV226" s="164"/>
      <c r="HW226" s="164">
        <f t="shared" si="494"/>
        <v>0</v>
      </c>
      <c r="HX226" s="164">
        <f t="shared" si="545"/>
        <v>0</v>
      </c>
      <c r="HY226" s="164"/>
      <c r="HZ226" s="164"/>
      <c r="IA226" s="164">
        <f t="shared" si="495"/>
        <v>0</v>
      </c>
      <c r="IB226" s="164">
        <v>0</v>
      </c>
      <c r="IC226" s="164"/>
      <c r="ID226" s="164"/>
      <c r="IE226" s="169"/>
      <c r="IF226" s="170"/>
      <c r="IG226" s="170"/>
      <c r="IH226" s="170"/>
    </row>
    <row r="227" spans="1:242" s="171" customFormat="1" ht="43.5" hidden="1" customHeight="1" x14ac:dyDescent="0.25">
      <c r="A227" s="253"/>
      <c r="B227" s="254"/>
      <c r="C227" s="174" t="s">
        <v>172</v>
      </c>
      <c r="D227" s="255" t="s">
        <v>149</v>
      </c>
      <c r="E227" s="164">
        <f t="shared" si="513"/>
        <v>88005.222139999998</v>
      </c>
      <c r="F227" s="164">
        <v>87202.021139999997</v>
      </c>
      <c r="G227" s="164">
        <v>803.20100000000002</v>
      </c>
      <c r="H227" s="164">
        <f t="shared" si="514"/>
        <v>0</v>
      </c>
      <c r="I227" s="164">
        <f t="shared" si="515"/>
        <v>0</v>
      </c>
      <c r="J227" s="164">
        <f t="shared" si="515"/>
        <v>0</v>
      </c>
      <c r="K227" s="164">
        <f t="shared" si="516"/>
        <v>88005.222139999998</v>
      </c>
      <c r="L227" s="164">
        <v>87202.021139999997</v>
      </c>
      <c r="M227" s="164">
        <v>803.20100000000002</v>
      </c>
      <c r="N227" s="164">
        <f t="shared" si="517"/>
        <v>0</v>
      </c>
      <c r="O227" s="164">
        <f t="shared" si="518"/>
        <v>0</v>
      </c>
      <c r="P227" s="164">
        <f t="shared" si="518"/>
        <v>0</v>
      </c>
      <c r="Q227" s="164">
        <f t="shared" si="519"/>
        <v>88005.222139999998</v>
      </c>
      <c r="R227" s="164">
        <v>87202.021139999997</v>
      </c>
      <c r="S227" s="164">
        <v>803.20100000000002</v>
      </c>
      <c r="T227" s="164">
        <f t="shared" si="520"/>
        <v>100000</v>
      </c>
      <c r="U227" s="164">
        <v>0</v>
      </c>
      <c r="V227" s="164">
        <v>100000</v>
      </c>
      <c r="W227" s="164" t="e">
        <f t="shared" si="521"/>
        <v>#REF!</v>
      </c>
      <c r="X227" s="164" t="e">
        <f t="shared" si="522"/>
        <v>#REF!</v>
      </c>
      <c r="Y227" s="164">
        <f t="shared" si="522"/>
        <v>-100000</v>
      </c>
      <c r="Z227" s="164" t="e">
        <f t="shared" si="523"/>
        <v>#REF!</v>
      </c>
      <c r="AA227" s="164" t="e">
        <f>'[3]2017_с остатком на торги'!$AG$130</f>
        <v>#REF!</v>
      </c>
      <c r="AB227" s="164"/>
      <c r="AC227" s="164">
        <f t="shared" si="524"/>
        <v>0</v>
      </c>
      <c r="AD227" s="164">
        <v>0</v>
      </c>
      <c r="AE227" s="164"/>
      <c r="AF227" s="164" t="e">
        <f t="shared" si="525"/>
        <v>#REF!</v>
      </c>
      <c r="AG227" s="164" t="e">
        <f>AA227+AD227</f>
        <v>#REF!</v>
      </c>
      <c r="AH227" s="164"/>
      <c r="AI227" s="164">
        <v>0</v>
      </c>
      <c r="AJ227" s="164">
        <v>31429.14673</v>
      </c>
      <c r="AK227" s="164" t="e">
        <f t="shared" si="526"/>
        <v>#REF!</v>
      </c>
      <c r="AL227" s="164" t="e">
        <f>AF227-AJ227</f>
        <v>#REF!</v>
      </c>
      <c r="AM227" s="758"/>
      <c r="AN227" s="164"/>
      <c r="AO227" s="164">
        <v>1</v>
      </c>
      <c r="AP227" s="164">
        <v>38370.509960000003</v>
      </c>
      <c r="AQ227" s="164">
        <v>61971.978049999998</v>
      </c>
      <c r="AR227" s="164" t="e">
        <f>AF227-AP227-AQ227</f>
        <v>#REF!</v>
      </c>
      <c r="AS227" s="164">
        <f t="shared" si="527"/>
        <v>60000</v>
      </c>
      <c r="AT227" s="164">
        <v>60000</v>
      </c>
      <c r="AU227" s="164"/>
      <c r="AV227" s="164">
        <f t="shared" si="528"/>
        <v>0</v>
      </c>
      <c r="AW227" s="164">
        <f>AZ227-AT227</f>
        <v>0</v>
      </c>
      <c r="AX227" s="164">
        <v>0</v>
      </c>
      <c r="AY227" s="164">
        <f t="shared" si="529"/>
        <v>60000</v>
      </c>
      <c r="AZ227" s="164">
        <f>AT227</f>
        <v>60000</v>
      </c>
      <c r="BA227" s="164"/>
      <c r="BB227" s="164">
        <f t="shared" si="530"/>
        <v>0</v>
      </c>
      <c r="BC227" s="164"/>
      <c r="BD227" s="164"/>
      <c r="BE227" s="164">
        <f t="shared" si="531"/>
        <v>0</v>
      </c>
      <c r="BF227" s="164">
        <f t="shared" si="532"/>
        <v>0</v>
      </c>
      <c r="BG227" s="164">
        <f t="shared" si="532"/>
        <v>0</v>
      </c>
      <c r="BH227" s="164">
        <f t="shared" si="533"/>
        <v>66356.345929999996</v>
      </c>
      <c r="BI227" s="164">
        <v>66356.345929999996</v>
      </c>
      <c r="BJ227" s="164"/>
      <c r="BK227" s="164">
        <v>1</v>
      </c>
      <c r="BL227" s="144">
        <f t="shared" si="534"/>
        <v>60000</v>
      </c>
      <c r="BM227" s="144">
        <f>BN227+BO227</f>
        <v>0</v>
      </c>
      <c r="BN227" s="144"/>
      <c r="BO227" s="144"/>
      <c r="BP227" s="144">
        <f>BQ227+BR227</f>
        <v>0</v>
      </c>
      <c r="BQ227" s="144"/>
      <c r="BR227" s="144"/>
      <c r="BS227" s="144">
        <f>BT227+BU227</f>
        <v>60000</v>
      </c>
      <c r="BT227" s="144">
        <f>AZ227-BN227-BQ227</f>
        <v>60000</v>
      </c>
      <c r="BU227" s="144"/>
      <c r="BV227" s="164">
        <f>BW227+BX227</f>
        <v>0</v>
      </c>
      <c r="BW227" s="164"/>
      <c r="BX227" s="164"/>
      <c r="BY227" s="164">
        <f t="shared" si="535"/>
        <v>0</v>
      </c>
      <c r="BZ227" s="164">
        <f>CC227-BI227</f>
        <v>0</v>
      </c>
      <c r="CA227" s="164"/>
      <c r="CB227" s="164">
        <f>CC227+CD227</f>
        <v>66356.345929999996</v>
      </c>
      <c r="CC227" s="164">
        <v>66356.345929999996</v>
      </c>
      <c r="CD227" s="164"/>
      <c r="CE227" s="164">
        <v>1</v>
      </c>
      <c r="CF227" s="144">
        <f t="shared" si="536"/>
        <v>0</v>
      </c>
      <c r="CG227" s="164"/>
      <c r="CH227" s="164">
        <f t="shared" si="537"/>
        <v>63000</v>
      </c>
      <c r="CI227" s="164">
        <v>63000</v>
      </c>
      <c r="CJ227" s="164"/>
      <c r="CK227" s="164">
        <f t="shared" si="538"/>
        <v>0</v>
      </c>
      <c r="CL227" s="164">
        <f>CR227-CI227</f>
        <v>0</v>
      </c>
      <c r="CM227" s="164">
        <v>0</v>
      </c>
      <c r="CN227" s="164">
        <f>CN228+CN236</f>
        <v>0</v>
      </c>
      <c r="CO227" s="164">
        <f>CO228+CO236</f>
        <v>0</v>
      </c>
      <c r="CP227" s="164">
        <f>CP228+CP236</f>
        <v>0</v>
      </c>
      <c r="CQ227" s="164">
        <f t="shared" si="540"/>
        <v>63000</v>
      </c>
      <c r="CR227" s="164">
        <v>63000</v>
      </c>
      <c r="CS227" s="164"/>
      <c r="CT227" s="164">
        <f>CU227+CV227</f>
        <v>0</v>
      </c>
      <c r="CU227" s="164">
        <f>CA227</f>
        <v>0</v>
      </c>
      <c r="CV227" s="164"/>
      <c r="CW227" s="164">
        <f>CX227+CY227</f>
        <v>93663.022580000004</v>
      </c>
      <c r="CX227" s="164">
        <v>93663.022580000004</v>
      </c>
      <c r="CY227" s="164"/>
      <c r="CZ227" s="164">
        <f t="shared" si="541"/>
        <v>63000</v>
      </c>
      <c r="DA227" s="164">
        <v>63000</v>
      </c>
      <c r="DB227" s="164"/>
      <c r="DC227" s="164"/>
      <c r="DD227" s="164"/>
      <c r="DE227" s="164"/>
      <c r="DF227" s="164">
        <f>DG227+DH227</f>
        <v>0</v>
      </c>
      <c r="DG227" s="164">
        <f>DJ227-CX227</f>
        <v>0</v>
      </c>
      <c r="DH227" s="164"/>
      <c r="DI227" s="164">
        <f>DJ227+DK227</f>
        <v>93663.022580000004</v>
      </c>
      <c r="DJ227" s="164">
        <f>94163.02258-500</f>
        <v>93663.022580000004</v>
      </c>
      <c r="DK227" s="164"/>
      <c r="DL227" s="164">
        <f>DM227+DN227</f>
        <v>40400.12717</v>
      </c>
      <c r="DM227" s="164">
        <v>40400.12717</v>
      </c>
      <c r="DN227" s="164"/>
      <c r="DO227" s="164">
        <f>DP227+DQ227</f>
        <v>34245.616999999998</v>
      </c>
      <c r="DP227" s="164">
        <v>34245.616999999998</v>
      </c>
      <c r="DQ227" s="164"/>
      <c r="DR227" s="164">
        <f>DS227+DT227</f>
        <v>19017.278410000006</v>
      </c>
      <c r="DS227" s="164">
        <f>DJ227-DM227-DP227</f>
        <v>19017.278410000006</v>
      </c>
      <c r="DT227" s="164"/>
      <c r="DU227" s="164">
        <f t="shared" si="542"/>
        <v>36300.504719999997</v>
      </c>
      <c r="DV227" s="164">
        <f>66300.50472-30000</f>
        <v>36300.504719999997</v>
      </c>
      <c r="DW227" s="164"/>
      <c r="DX227" s="164">
        <f t="shared" si="543"/>
        <v>63000</v>
      </c>
      <c r="DY227" s="164">
        <v>63000</v>
      </c>
      <c r="DZ227" s="164"/>
      <c r="EA227" s="164"/>
      <c r="EB227" s="164"/>
      <c r="EC227" s="164"/>
      <c r="ED227" s="164">
        <f>EE227</f>
        <v>70674.657319999998</v>
      </c>
      <c r="EE227" s="164">
        <f>EH227-DV227</f>
        <v>70674.657319999998</v>
      </c>
      <c r="EF227" s="164"/>
      <c r="EG227" s="164">
        <f t="shared" si="485"/>
        <v>106975.16204</v>
      </c>
      <c r="EH227" s="164">
        <v>106975.16204</v>
      </c>
      <c r="EI227" s="164"/>
      <c r="EJ227" s="164"/>
      <c r="EK227" s="164">
        <f>EL227+EN227</f>
        <v>-106975.16204</v>
      </c>
      <c r="EL227" s="164">
        <f>ET227-EH227</f>
        <v>-106975.16204</v>
      </c>
      <c r="EM227" s="164"/>
      <c r="EN227" s="164"/>
      <c r="EO227" s="164">
        <f>EP227+ER227</f>
        <v>0</v>
      </c>
      <c r="EP227" s="164"/>
      <c r="EQ227" s="164"/>
      <c r="ER227" s="164"/>
      <c r="ES227" s="164">
        <f>ET227+EV227</f>
        <v>0</v>
      </c>
      <c r="ET227" s="164"/>
      <c r="EU227" s="164"/>
      <c r="EV227" s="164"/>
      <c r="EW227" s="164">
        <f t="shared" si="544"/>
        <v>33000</v>
      </c>
      <c r="EX227" s="164">
        <f>63000-30000</f>
        <v>33000</v>
      </c>
      <c r="EY227" s="164"/>
      <c r="EZ227" s="164">
        <f t="shared" si="511"/>
        <v>59784.080780000004</v>
      </c>
      <c r="FA227" s="164">
        <f>FD227-EX227</f>
        <v>59784.080780000004</v>
      </c>
      <c r="FB227" s="164"/>
      <c r="FC227" s="163">
        <f t="shared" si="501"/>
        <v>92784.080780000004</v>
      </c>
      <c r="FD227" s="163">
        <v>92784.080780000004</v>
      </c>
      <c r="FE227" s="163"/>
      <c r="FF227" s="163"/>
      <c r="FG227" s="163">
        <f>FH227+FJ227</f>
        <v>-12047.830030000012</v>
      </c>
      <c r="FH227" s="163">
        <f>FP227-FD227</f>
        <v>-12047.830030000012</v>
      </c>
      <c r="FI227" s="163"/>
      <c r="FJ227" s="163"/>
      <c r="FK227" s="163">
        <f>FL227+FN227</f>
        <v>0</v>
      </c>
      <c r="FL227" s="163"/>
      <c r="FM227" s="163"/>
      <c r="FN227" s="163"/>
      <c r="FO227" s="163">
        <f t="shared" si="488"/>
        <v>80736.250749999992</v>
      </c>
      <c r="FP227" s="163">
        <f>FD227+2839.49418-14887.32421</f>
        <v>80736.250749999992</v>
      </c>
      <c r="FQ227" s="163"/>
      <c r="FR227" s="163"/>
      <c r="FS227" s="163">
        <f t="shared" si="508"/>
        <v>28946.158080000001</v>
      </c>
      <c r="FT227" s="575">
        <f t="shared" si="506"/>
        <v>0.31197332383595122</v>
      </c>
      <c r="FU227" s="163">
        <v>28946.158080000001</v>
      </c>
      <c r="FV227" s="575">
        <f t="shared" si="507"/>
        <v>0.31197332383595122</v>
      </c>
      <c r="FW227" s="164"/>
      <c r="FX227" s="164"/>
      <c r="FY227" s="164"/>
      <c r="FZ227" s="164"/>
      <c r="GA227" s="163">
        <f>GC227</f>
        <v>30906.70217</v>
      </c>
      <c r="GB227" s="575">
        <f>GA227/FC227</f>
        <v>0.33310350127068422</v>
      </c>
      <c r="GC227" s="163">
        <v>30906.70217</v>
      </c>
      <c r="GD227" s="575">
        <f>GC227/FD227</f>
        <v>0.33310350127068422</v>
      </c>
      <c r="GE227" s="163"/>
      <c r="GF227" s="164"/>
      <c r="GG227" s="163"/>
      <c r="GH227" s="164"/>
      <c r="GI227" s="163">
        <f>GK227</f>
        <v>77812.615659999996</v>
      </c>
      <c r="GJ227" s="575">
        <f t="shared" si="471"/>
        <v>0.83864187698858828</v>
      </c>
      <c r="GK227" s="163">
        <v>77812.615659999996</v>
      </c>
      <c r="GL227" s="575">
        <f t="shared" si="472"/>
        <v>0.83864187698858828</v>
      </c>
      <c r="GM227" s="163"/>
      <c r="GN227" s="575"/>
      <c r="GO227" s="163"/>
      <c r="GP227" s="575"/>
      <c r="GQ227" s="164"/>
      <c r="GR227" s="164"/>
      <c r="GS227" s="164"/>
      <c r="GT227" s="164"/>
      <c r="GU227" s="164">
        <f t="shared" si="489"/>
        <v>116916.39135999999</v>
      </c>
      <c r="GV227" s="164">
        <v>116916.39135999999</v>
      </c>
      <c r="GW227" s="164"/>
      <c r="GX227" s="164"/>
      <c r="GY227" s="164"/>
      <c r="GZ227" s="164"/>
      <c r="HA227" s="164"/>
      <c r="HB227" s="164"/>
      <c r="HC227" s="164"/>
      <c r="HD227" s="164"/>
      <c r="HE227" s="164"/>
      <c r="HF227" s="164"/>
      <c r="HG227" s="164">
        <f t="shared" si="512"/>
        <v>-2397.1583399999945</v>
      </c>
      <c r="HH227" s="164">
        <f>HP227-GV227</f>
        <v>-2397.1583399999945</v>
      </c>
      <c r="HI227" s="164"/>
      <c r="HJ227" s="164"/>
      <c r="HK227" s="164">
        <f t="shared" si="491"/>
        <v>0</v>
      </c>
      <c r="HL227" s="164">
        <f>IF227-GZ227</f>
        <v>0</v>
      </c>
      <c r="HM227" s="164"/>
      <c r="HN227" s="164"/>
      <c r="HO227" s="164">
        <f t="shared" si="492"/>
        <v>114519.23302</v>
      </c>
      <c r="HP227" s="164">
        <f>GV227-HH234</f>
        <v>114519.23302</v>
      </c>
      <c r="HQ227" s="164"/>
      <c r="HR227" s="164"/>
      <c r="HS227" s="164">
        <f t="shared" si="493"/>
        <v>90000</v>
      </c>
      <c r="HT227" s="164">
        <v>90000</v>
      </c>
      <c r="HU227" s="164"/>
      <c r="HV227" s="164"/>
      <c r="HW227" s="164">
        <f t="shared" si="494"/>
        <v>-2490.2522299999982</v>
      </c>
      <c r="HX227" s="164">
        <f t="shared" si="545"/>
        <v>-2490.2522299999982</v>
      </c>
      <c r="HY227" s="164"/>
      <c r="HZ227" s="164"/>
      <c r="IA227" s="164">
        <f t="shared" si="495"/>
        <v>87509.747770000002</v>
      </c>
      <c r="IB227" s="164">
        <f>HT227-HX234</f>
        <v>87509.747770000002</v>
      </c>
      <c r="IC227" s="164"/>
      <c r="ID227" s="164"/>
      <c r="IE227" s="169"/>
      <c r="IF227" s="170"/>
      <c r="IG227" s="170"/>
      <c r="IH227" s="170"/>
    </row>
    <row r="228" spans="1:242" s="240" customFormat="1" ht="54" hidden="1" customHeight="1" x14ac:dyDescent="0.25">
      <c r="B228" s="256" t="s">
        <v>109</v>
      </c>
      <c r="C228" s="242" t="s">
        <v>325</v>
      </c>
      <c r="D228" s="242" t="s">
        <v>326</v>
      </c>
      <c r="E228" s="224">
        <f t="shared" si="513"/>
        <v>102533.29598</v>
      </c>
      <c r="F228" s="192">
        <f>F229</f>
        <v>102533.29598</v>
      </c>
      <c r="G228" s="192">
        <f>G229</f>
        <v>0</v>
      </c>
      <c r="H228" s="224">
        <f t="shared" si="514"/>
        <v>0</v>
      </c>
      <c r="I228" s="192">
        <f>I229</f>
        <v>0</v>
      </c>
      <c r="J228" s="192">
        <f>J229</f>
        <v>0</v>
      </c>
      <c r="K228" s="224">
        <f t="shared" si="516"/>
        <v>102533.29598</v>
      </c>
      <c r="L228" s="192">
        <f>L229</f>
        <v>102533.29598</v>
      </c>
      <c r="M228" s="192">
        <f>M229</f>
        <v>0</v>
      </c>
      <c r="N228" s="224">
        <f t="shared" si="517"/>
        <v>0</v>
      </c>
      <c r="O228" s="192">
        <f>O229</f>
        <v>0</v>
      </c>
      <c r="P228" s="192">
        <f>P229</f>
        <v>0</v>
      </c>
      <c r="Q228" s="224">
        <f t="shared" si="519"/>
        <v>102533.29598</v>
      </c>
      <c r="R228" s="192">
        <f>R229</f>
        <v>102533.29598</v>
      </c>
      <c r="S228" s="192">
        <f>S229</f>
        <v>0</v>
      </c>
      <c r="T228" s="224">
        <f t="shared" si="520"/>
        <v>100000</v>
      </c>
      <c r="U228" s="192">
        <f>U229</f>
        <v>0</v>
      </c>
      <c r="V228" s="192">
        <f>V229</f>
        <v>100000</v>
      </c>
      <c r="W228" s="224" t="e">
        <f t="shared" si="521"/>
        <v>#REF!</v>
      </c>
      <c r="X228" s="192" t="e">
        <f>AA228</f>
        <v>#REF!</v>
      </c>
      <c r="Y228" s="192">
        <f>Y229</f>
        <v>-100000</v>
      </c>
      <c r="Z228" s="192" t="e">
        <f t="shared" si="523"/>
        <v>#REF!</v>
      </c>
      <c r="AA228" s="192" t="e">
        <f>AA229</f>
        <v>#REF!</v>
      </c>
      <c r="AB228" s="192">
        <f>AB229</f>
        <v>0</v>
      </c>
      <c r="AC228" s="192">
        <f t="shared" si="524"/>
        <v>0</v>
      </c>
      <c r="AD228" s="192">
        <f>AD229</f>
        <v>0</v>
      </c>
      <c r="AE228" s="192">
        <f>AE229</f>
        <v>0</v>
      </c>
      <c r="AF228" s="192" t="e">
        <f t="shared" si="525"/>
        <v>#REF!</v>
      </c>
      <c r="AG228" s="192" t="e">
        <f>AG229</f>
        <v>#REF!</v>
      </c>
      <c r="AH228" s="192">
        <f>AH229</f>
        <v>0</v>
      </c>
      <c r="AI228" s="192">
        <v>0</v>
      </c>
      <c r="AJ228" s="192"/>
      <c r="AK228" s="192" t="e">
        <f t="shared" si="526"/>
        <v>#REF!</v>
      </c>
      <c r="AL228" s="192" t="e">
        <f>AF228-AJ228</f>
        <v>#REF!</v>
      </c>
      <c r="AM228" s="746" t="s">
        <v>327</v>
      </c>
      <c r="AN228" s="248" t="s">
        <v>327</v>
      </c>
      <c r="AO228" s="192">
        <v>1</v>
      </c>
      <c r="AP228" s="249">
        <f>AP229</f>
        <v>0</v>
      </c>
      <c r="AQ228" s="249">
        <f>AQ229</f>
        <v>0</v>
      </c>
      <c r="AR228" s="249" t="e">
        <f>AR229</f>
        <v>#REF!</v>
      </c>
      <c r="AS228" s="192">
        <f t="shared" si="527"/>
        <v>101230.618</v>
      </c>
      <c r="AT228" s="192">
        <f>AT229</f>
        <v>101230.618</v>
      </c>
      <c r="AU228" s="192">
        <f>AU229</f>
        <v>0</v>
      </c>
      <c r="AV228" s="192">
        <f t="shared" si="528"/>
        <v>-10000</v>
      </c>
      <c r="AW228" s="192">
        <f>AW229</f>
        <v>-10000</v>
      </c>
      <c r="AX228" s="192">
        <f>AX229</f>
        <v>0</v>
      </c>
      <c r="AY228" s="192">
        <f t="shared" si="529"/>
        <v>91230.618000000002</v>
      </c>
      <c r="AZ228" s="192">
        <f>AZ229</f>
        <v>91230.618000000002</v>
      </c>
      <c r="BA228" s="192">
        <f>BA229</f>
        <v>0</v>
      </c>
      <c r="BB228" s="192">
        <f t="shared" si="530"/>
        <v>100000</v>
      </c>
      <c r="BC228" s="192">
        <f>BC229</f>
        <v>100000</v>
      </c>
      <c r="BD228" s="192">
        <f>BD229</f>
        <v>0</v>
      </c>
      <c r="BE228" s="192">
        <f t="shared" si="531"/>
        <v>0</v>
      </c>
      <c r="BF228" s="192">
        <f>BF229+BF230</f>
        <v>0</v>
      </c>
      <c r="BG228" s="192">
        <f>BG229</f>
        <v>0</v>
      </c>
      <c r="BH228" s="192">
        <f t="shared" si="533"/>
        <v>91230.618000000002</v>
      </c>
      <c r="BI228" s="192">
        <f>BI229</f>
        <v>91230.618000000002</v>
      </c>
      <c r="BJ228" s="192">
        <f>BJ229</f>
        <v>0</v>
      </c>
      <c r="BK228" s="192">
        <v>1</v>
      </c>
      <c r="BL228" s="153">
        <f t="shared" si="534"/>
        <v>91230.618000000002</v>
      </c>
      <c r="BM228" s="153"/>
      <c r="BN228" s="153"/>
      <c r="BO228" s="153"/>
      <c r="BP228" s="153"/>
      <c r="BQ228" s="153"/>
      <c r="BR228" s="153"/>
      <c r="BS228" s="153">
        <f>BT228</f>
        <v>91230.618000000002</v>
      </c>
      <c r="BT228" s="153">
        <f>AZ228-BN228-BQ228</f>
        <v>91230.618000000002</v>
      </c>
      <c r="BU228" s="153"/>
      <c r="BV228" s="192">
        <f>BW228+BX228</f>
        <v>101230.618</v>
      </c>
      <c r="BW228" s="192">
        <f>BW229</f>
        <v>101230.618</v>
      </c>
      <c r="BX228" s="192">
        <f>BX229</f>
        <v>0</v>
      </c>
      <c r="BY228" s="192">
        <f t="shared" si="535"/>
        <v>-51230.618000000002</v>
      </c>
      <c r="BZ228" s="192">
        <f>BZ229</f>
        <v>-51230.618000000002</v>
      </c>
      <c r="CA228" s="192">
        <f>CA229</f>
        <v>0</v>
      </c>
      <c r="CB228" s="192">
        <f>CB229</f>
        <v>40000</v>
      </c>
      <c r="CC228" s="192">
        <f>CC229</f>
        <v>40000</v>
      </c>
      <c r="CD228" s="192">
        <f>CD229</f>
        <v>0</v>
      </c>
      <c r="CE228" s="192">
        <v>1</v>
      </c>
      <c r="CF228" s="153">
        <f t="shared" si="536"/>
        <v>101230.618</v>
      </c>
      <c r="CG228" s="242" t="s">
        <v>328</v>
      </c>
      <c r="CH228" s="192">
        <f t="shared" si="537"/>
        <v>104267.5365</v>
      </c>
      <c r="CI228" s="192">
        <f>CI229</f>
        <v>104267.5365</v>
      </c>
      <c r="CJ228" s="192">
        <f>CJ229</f>
        <v>0</v>
      </c>
      <c r="CK228" s="192">
        <f t="shared" si="538"/>
        <v>0</v>
      </c>
      <c r="CL228" s="192">
        <f>CL229</f>
        <v>0</v>
      </c>
      <c r="CM228" s="192">
        <f>CM229</f>
        <v>0</v>
      </c>
      <c r="CN228" s="192">
        <f t="shared" ref="CN228:CP229" si="546">CN229+CN238</f>
        <v>0</v>
      </c>
      <c r="CO228" s="192">
        <f t="shared" si="546"/>
        <v>0</v>
      </c>
      <c r="CP228" s="192">
        <f t="shared" si="546"/>
        <v>0</v>
      </c>
      <c r="CQ228" s="192">
        <f t="shared" si="540"/>
        <v>104267.5365</v>
      </c>
      <c r="CR228" s="192">
        <f t="shared" ref="CR228:CY228" si="547">CR229</f>
        <v>104267.5365</v>
      </c>
      <c r="CS228" s="192">
        <f t="shared" si="547"/>
        <v>0</v>
      </c>
      <c r="CT228" s="192">
        <f t="shared" si="547"/>
        <v>0</v>
      </c>
      <c r="CU228" s="192">
        <f t="shared" si="547"/>
        <v>0</v>
      </c>
      <c r="CV228" s="192">
        <f t="shared" si="547"/>
        <v>0</v>
      </c>
      <c r="CW228" s="192">
        <f t="shared" si="547"/>
        <v>0</v>
      </c>
      <c r="CX228" s="192">
        <f t="shared" si="547"/>
        <v>0</v>
      </c>
      <c r="CY228" s="192">
        <f t="shared" si="547"/>
        <v>0</v>
      </c>
      <c r="CZ228" s="192">
        <f t="shared" si="541"/>
        <v>40000</v>
      </c>
      <c r="DA228" s="192">
        <f>DA229</f>
        <v>40000</v>
      </c>
      <c r="DB228" s="192">
        <f>DB229</f>
        <v>0</v>
      </c>
      <c r="DC228" s="192"/>
      <c r="DD228" s="192"/>
      <c r="DE228" s="192"/>
      <c r="DF228" s="192">
        <f t="shared" ref="DF228:DT228" si="548">DF229</f>
        <v>0</v>
      </c>
      <c r="DG228" s="192">
        <f t="shared" si="548"/>
        <v>0</v>
      </c>
      <c r="DH228" s="192">
        <f t="shared" si="548"/>
        <v>0</v>
      </c>
      <c r="DI228" s="192">
        <f t="shared" si="548"/>
        <v>0</v>
      </c>
      <c r="DJ228" s="192">
        <f t="shared" si="548"/>
        <v>0</v>
      </c>
      <c r="DK228" s="192">
        <f t="shared" si="548"/>
        <v>0</v>
      </c>
      <c r="DL228" s="192">
        <f t="shared" si="548"/>
        <v>0</v>
      </c>
      <c r="DM228" s="192">
        <f t="shared" si="548"/>
        <v>0</v>
      </c>
      <c r="DN228" s="192">
        <f t="shared" si="548"/>
        <v>0</v>
      </c>
      <c r="DO228" s="192">
        <f t="shared" si="548"/>
        <v>0</v>
      </c>
      <c r="DP228" s="192">
        <f t="shared" si="548"/>
        <v>0</v>
      </c>
      <c r="DQ228" s="192">
        <f t="shared" si="548"/>
        <v>0</v>
      </c>
      <c r="DR228" s="192">
        <f t="shared" si="548"/>
        <v>0</v>
      </c>
      <c r="DS228" s="192">
        <f t="shared" si="548"/>
        <v>0</v>
      </c>
      <c r="DT228" s="192">
        <f t="shared" si="548"/>
        <v>0</v>
      </c>
      <c r="DU228" s="192">
        <f t="shared" si="542"/>
        <v>0</v>
      </c>
      <c r="DV228" s="192">
        <f>DV229</f>
        <v>0</v>
      </c>
      <c r="DW228" s="192">
        <f>DW229</f>
        <v>0</v>
      </c>
      <c r="DX228" s="192">
        <f t="shared" si="543"/>
        <v>40000</v>
      </c>
      <c r="DY228" s="192">
        <f>DY229</f>
        <v>40000</v>
      </c>
      <c r="DZ228" s="192">
        <f>DZ229</f>
        <v>0</v>
      </c>
      <c r="EA228" s="192"/>
      <c r="EB228" s="192"/>
      <c r="EC228" s="192"/>
      <c r="ED228" s="192">
        <f>EE228</f>
        <v>0</v>
      </c>
      <c r="EE228" s="192">
        <f>EE229</f>
        <v>0</v>
      </c>
      <c r="EF228" s="192"/>
      <c r="EG228" s="192">
        <f t="shared" si="485"/>
        <v>0</v>
      </c>
      <c r="EH228" s="192">
        <v>0</v>
      </c>
      <c r="EI228" s="192"/>
      <c r="EJ228" s="192"/>
      <c r="EK228" s="192">
        <f>EK229</f>
        <v>0</v>
      </c>
      <c r="EL228" s="192">
        <f>EL229</f>
        <v>0</v>
      </c>
      <c r="EM228" s="192"/>
      <c r="EN228" s="192">
        <f>EN229</f>
        <v>0</v>
      </c>
      <c r="EO228" s="192">
        <f>EO229</f>
        <v>0</v>
      </c>
      <c r="EP228" s="192">
        <f>EP229</f>
        <v>0</v>
      </c>
      <c r="EQ228" s="192"/>
      <c r="ER228" s="192">
        <f>ER229</f>
        <v>0</v>
      </c>
      <c r="ES228" s="192"/>
      <c r="ET228" s="192"/>
      <c r="EU228" s="192"/>
      <c r="EV228" s="192"/>
      <c r="EW228" s="192">
        <f t="shared" si="544"/>
        <v>0</v>
      </c>
      <c r="EX228" s="192">
        <f>EX229</f>
        <v>0</v>
      </c>
      <c r="EY228" s="192">
        <f>EY229</f>
        <v>0</v>
      </c>
      <c r="EZ228" s="192">
        <f t="shared" si="511"/>
        <v>0</v>
      </c>
      <c r="FA228" s="192">
        <f>FA229</f>
        <v>0</v>
      </c>
      <c r="FB228" s="192"/>
      <c r="FC228" s="201">
        <f t="shared" si="501"/>
        <v>0</v>
      </c>
      <c r="FD228" s="201">
        <f>EX228+FA228</f>
        <v>0</v>
      </c>
      <c r="FE228" s="201"/>
      <c r="FF228" s="201"/>
      <c r="FG228" s="201">
        <f>FG229</f>
        <v>0</v>
      </c>
      <c r="FH228" s="201">
        <f>FH229</f>
        <v>0</v>
      </c>
      <c r="FI228" s="201"/>
      <c r="FJ228" s="201">
        <f>FJ229</f>
        <v>0</v>
      </c>
      <c r="FK228" s="201">
        <f>FK229</f>
        <v>0</v>
      </c>
      <c r="FL228" s="201">
        <f>FL229</f>
        <v>0</v>
      </c>
      <c r="FM228" s="201"/>
      <c r="FN228" s="201">
        <f>FN229</f>
        <v>0</v>
      </c>
      <c r="FO228" s="201">
        <f t="shared" si="488"/>
        <v>0</v>
      </c>
      <c r="FP228" s="201">
        <f>FF228+FI228</f>
        <v>0</v>
      </c>
      <c r="FQ228" s="201"/>
      <c r="FR228" s="201"/>
      <c r="FS228" s="163">
        <f t="shared" si="508"/>
        <v>0</v>
      </c>
      <c r="FT228" s="582" t="e">
        <f t="shared" si="506"/>
        <v>#DIV/0!</v>
      </c>
      <c r="FU228" s="163"/>
      <c r="FV228" s="582" t="e">
        <f t="shared" si="507"/>
        <v>#DIV/0!</v>
      </c>
      <c r="FW228" s="192"/>
      <c r="FX228" s="192"/>
      <c r="FY228" s="192"/>
      <c r="FZ228" s="192"/>
      <c r="GA228" s="163"/>
      <c r="GB228" s="582"/>
      <c r="GC228" s="163"/>
      <c r="GD228" s="582"/>
      <c r="GE228" s="201"/>
      <c r="GF228" s="192"/>
      <c r="GG228" s="201"/>
      <c r="GH228" s="192"/>
      <c r="GI228" s="163"/>
      <c r="GJ228" s="582" t="e">
        <f t="shared" si="471"/>
        <v>#DIV/0!</v>
      </c>
      <c r="GK228" s="201"/>
      <c r="GL228" s="582" t="e">
        <f t="shared" si="472"/>
        <v>#DIV/0!</v>
      </c>
      <c r="GM228" s="201"/>
      <c r="GN228" s="575"/>
      <c r="GO228" s="201"/>
      <c r="GP228" s="575"/>
      <c r="GQ228" s="192"/>
      <c r="GR228" s="192"/>
      <c r="GS228" s="192"/>
      <c r="GT228" s="192"/>
      <c r="GU228" s="192">
        <f t="shared" si="489"/>
        <v>0</v>
      </c>
      <c r="GV228" s="192">
        <f>FJ228+FQ228</f>
        <v>0</v>
      </c>
      <c r="GW228" s="192"/>
      <c r="GX228" s="192"/>
      <c r="GY228" s="192"/>
      <c r="GZ228" s="192"/>
      <c r="HA228" s="192"/>
      <c r="HB228" s="192"/>
      <c r="HC228" s="192"/>
      <c r="HD228" s="192"/>
      <c r="HE228" s="192"/>
      <c r="HF228" s="192"/>
      <c r="HG228" s="192">
        <f t="shared" si="512"/>
        <v>0</v>
      </c>
      <c r="HH228" s="192">
        <f>HB228+HE228</f>
        <v>0</v>
      </c>
      <c r="HI228" s="192"/>
      <c r="HJ228" s="192"/>
      <c r="HK228" s="192">
        <f t="shared" si="491"/>
        <v>0</v>
      </c>
      <c r="HL228" s="192">
        <f>HF228+HI228</f>
        <v>0</v>
      </c>
      <c r="HM228" s="192"/>
      <c r="HN228" s="192"/>
      <c r="HO228" s="192">
        <f t="shared" si="492"/>
        <v>0</v>
      </c>
      <c r="HP228" s="192">
        <f>HF228+HI228</f>
        <v>0</v>
      </c>
      <c r="HQ228" s="192"/>
      <c r="HR228" s="192"/>
      <c r="HS228" s="192">
        <f t="shared" si="493"/>
        <v>0</v>
      </c>
      <c r="HT228" s="192">
        <f>HJ228+HQ228</f>
        <v>0</v>
      </c>
      <c r="HU228" s="192"/>
      <c r="HV228" s="192"/>
      <c r="HW228" s="192">
        <f t="shared" si="494"/>
        <v>0</v>
      </c>
      <c r="HX228" s="164">
        <f t="shared" si="545"/>
        <v>0</v>
      </c>
      <c r="HY228" s="192"/>
      <c r="HZ228" s="192"/>
      <c r="IA228" s="192">
        <f t="shared" si="495"/>
        <v>0</v>
      </c>
      <c r="IB228" s="192">
        <f>HR228+HY228</f>
        <v>0</v>
      </c>
      <c r="IC228" s="192"/>
      <c r="ID228" s="192"/>
      <c r="IE228" s="196" t="s">
        <v>329</v>
      </c>
      <c r="IF228" s="250"/>
      <c r="IG228" s="250"/>
      <c r="IH228" s="250"/>
    </row>
    <row r="229" spans="1:242" s="171" customFormat="1" ht="24.75" hidden="1" customHeight="1" x14ac:dyDescent="0.25">
      <c r="B229" s="160"/>
      <c r="C229" s="174" t="s">
        <v>330</v>
      </c>
      <c r="D229" s="255" t="s">
        <v>324</v>
      </c>
      <c r="E229" s="164">
        <f t="shared" si="513"/>
        <v>102533.29598</v>
      </c>
      <c r="F229" s="164">
        <v>102533.29598</v>
      </c>
      <c r="G229" s="164"/>
      <c r="H229" s="164">
        <f t="shared" si="514"/>
        <v>0</v>
      </c>
      <c r="I229" s="164">
        <f>L229-F229</f>
        <v>0</v>
      </c>
      <c r="J229" s="164">
        <f>M229-G229</f>
        <v>0</v>
      </c>
      <c r="K229" s="164">
        <f t="shared" si="516"/>
        <v>102533.29598</v>
      </c>
      <c r="L229" s="164">
        <v>102533.29598</v>
      </c>
      <c r="M229" s="164"/>
      <c r="N229" s="164">
        <f t="shared" si="517"/>
        <v>0</v>
      </c>
      <c r="O229" s="164">
        <f>R229-L229</f>
        <v>0</v>
      </c>
      <c r="P229" s="164">
        <f>S229-M229</f>
        <v>0</v>
      </c>
      <c r="Q229" s="164">
        <f t="shared" si="519"/>
        <v>102533.29598</v>
      </c>
      <c r="R229" s="164">
        <v>102533.29598</v>
      </c>
      <c r="S229" s="164"/>
      <c r="T229" s="164">
        <f t="shared" si="520"/>
        <v>100000</v>
      </c>
      <c r="U229" s="164">
        <v>0</v>
      </c>
      <c r="V229" s="164">
        <v>100000</v>
      </c>
      <c r="W229" s="164" t="e">
        <f t="shared" si="521"/>
        <v>#REF!</v>
      </c>
      <c r="X229" s="164" t="e">
        <f>AA229-U229</f>
        <v>#REF!</v>
      </c>
      <c r="Y229" s="164">
        <f>AB229-V229</f>
        <v>-100000</v>
      </c>
      <c r="Z229" s="164" t="e">
        <f t="shared" si="523"/>
        <v>#REF!</v>
      </c>
      <c r="AA229" s="164" t="e">
        <f>'[3]2017_с остатком на торги'!$AG$132</f>
        <v>#REF!</v>
      </c>
      <c r="AB229" s="164"/>
      <c r="AC229" s="164">
        <f t="shared" si="524"/>
        <v>0</v>
      </c>
      <c r="AD229" s="164"/>
      <c r="AE229" s="164"/>
      <c r="AF229" s="164" t="e">
        <f t="shared" si="525"/>
        <v>#REF!</v>
      </c>
      <c r="AG229" s="164" t="e">
        <f>'[3]2017_с остатком на торги'!$AG$132</f>
        <v>#REF!</v>
      </c>
      <c r="AH229" s="164"/>
      <c r="AI229" s="164"/>
      <c r="AJ229" s="164"/>
      <c r="AK229" s="164" t="e">
        <f t="shared" si="526"/>
        <v>#REF!</v>
      </c>
      <c r="AL229" s="164" t="e">
        <f>AF229-AJ229</f>
        <v>#REF!</v>
      </c>
      <c r="AM229" s="746"/>
      <c r="AN229" s="164"/>
      <c r="AO229" s="164">
        <v>1</v>
      </c>
      <c r="AP229" s="164">
        <v>0</v>
      </c>
      <c r="AQ229" s="164">
        <v>0</v>
      </c>
      <c r="AR229" s="164" t="e">
        <f>AF229-AP229-AQ229</f>
        <v>#REF!</v>
      </c>
      <c r="AS229" s="164">
        <f t="shared" si="527"/>
        <v>101230.618</v>
      </c>
      <c r="AT229" s="164">
        <f>'[5]2018-2019 _с лимит75и50'!BQ141</f>
        <v>101230.618</v>
      </c>
      <c r="AU229" s="164"/>
      <c r="AV229" s="164">
        <f t="shared" si="528"/>
        <v>-10000</v>
      </c>
      <c r="AW229" s="164">
        <v>-10000</v>
      </c>
      <c r="AX229" s="164">
        <v>0</v>
      </c>
      <c r="AY229" s="164">
        <f t="shared" si="529"/>
        <v>91230.618000000002</v>
      </c>
      <c r="AZ229" s="164">
        <f>AT229+AW229</f>
        <v>91230.618000000002</v>
      </c>
      <c r="BA229" s="164"/>
      <c r="BB229" s="164">
        <f t="shared" si="530"/>
        <v>100000</v>
      </c>
      <c r="BC229" s="164">
        <v>100000</v>
      </c>
      <c r="BD229" s="164"/>
      <c r="BE229" s="164">
        <f t="shared" si="531"/>
        <v>0</v>
      </c>
      <c r="BF229" s="164">
        <f>BI229-AZ229</f>
        <v>0</v>
      </c>
      <c r="BG229" s="164">
        <f>BX229-BD229</f>
        <v>0</v>
      </c>
      <c r="BH229" s="164">
        <f t="shared" si="533"/>
        <v>91230.618000000002</v>
      </c>
      <c r="BI229" s="164">
        <f>AZ229</f>
        <v>91230.618000000002</v>
      </c>
      <c r="BJ229" s="164"/>
      <c r="BK229" s="164">
        <v>1</v>
      </c>
      <c r="BL229" s="144">
        <f t="shared" si="534"/>
        <v>91230.618000000002</v>
      </c>
      <c r="BM229" s="144"/>
      <c r="BN229" s="144"/>
      <c r="BO229" s="144"/>
      <c r="BP229" s="144"/>
      <c r="BQ229" s="144"/>
      <c r="BR229" s="144"/>
      <c r="BS229" s="144"/>
      <c r="BT229" s="144"/>
      <c r="BU229" s="144"/>
      <c r="BV229" s="164">
        <v>101230.618</v>
      </c>
      <c r="BW229" s="164">
        <v>101230.618</v>
      </c>
      <c r="BX229" s="164"/>
      <c r="BY229" s="164">
        <f t="shared" si="535"/>
        <v>-51230.618000000002</v>
      </c>
      <c r="BZ229" s="164">
        <f>CC229-BI229</f>
        <v>-51230.618000000002</v>
      </c>
      <c r="CA229" s="164">
        <v>0</v>
      </c>
      <c r="CB229" s="164">
        <f>CC229+CD229</f>
        <v>40000</v>
      </c>
      <c r="CC229" s="164">
        <v>40000</v>
      </c>
      <c r="CD229" s="164"/>
      <c r="CE229" s="164">
        <v>1</v>
      </c>
      <c r="CF229" s="144">
        <f t="shared" si="536"/>
        <v>101230.618</v>
      </c>
      <c r="CG229" s="164"/>
      <c r="CH229" s="164">
        <f t="shared" si="537"/>
        <v>104267.5365</v>
      </c>
      <c r="CI229" s="164">
        <v>104267.5365</v>
      </c>
      <c r="CJ229" s="164"/>
      <c r="CK229" s="164">
        <f t="shared" si="538"/>
        <v>0</v>
      </c>
      <c r="CL229" s="164">
        <f>CR229-CI229</f>
        <v>0</v>
      </c>
      <c r="CM229" s="164">
        <v>0</v>
      </c>
      <c r="CN229" s="164">
        <f t="shared" si="546"/>
        <v>0</v>
      </c>
      <c r="CO229" s="164">
        <f t="shared" si="546"/>
        <v>0</v>
      </c>
      <c r="CP229" s="164">
        <f t="shared" si="546"/>
        <v>0</v>
      </c>
      <c r="CQ229" s="164">
        <f t="shared" si="540"/>
        <v>104267.5365</v>
      </c>
      <c r="CR229" s="164">
        <v>104267.5365</v>
      </c>
      <c r="CS229" s="164"/>
      <c r="CT229" s="164">
        <f>CU229+CV229</f>
        <v>0</v>
      </c>
      <c r="CU229" s="164">
        <v>0</v>
      </c>
      <c r="CV229" s="164"/>
      <c r="CW229" s="164">
        <f>CX229+CY229</f>
        <v>0</v>
      </c>
      <c r="CX229" s="164">
        <v>0</v>
      </c>
      <c r="CY229" s="164"/>
      <c r="CZ229" s="164">
        <f t="shared" si="541"/>
        <v>40000</v>
      </c>
      <c r="DA229" s="164">
        <v>40000</v>
      </c>
      <c r="DB229" s="164"/>
      <c r="DC229" s="164"/>
      <c r="DD229" s="164"/>
      <c r="DE229" s="164"/>
      <c r="DF229" s="164">
        <f t="shared" ref="DF229:DF242" si="549">DG229+DH229</f>
        <v>0</v>
      </c>
      <c r="DG229" s="164">
        <f>DJ229-CX229</f>
        <v>0</v>
      </c>
      <c r="DH229" s="164"/>
      <c r="DI229" s="164">
        <f t="shared" ref="DI229:DI242" si="550">DJ229+DK229</f>
        <v>0</v>
      </c>
      <c r="DJ229" s="164">
        <v>0</v>
      </c>
      <c r="DK229" s="164"/>
      <c r="DL229" s="164">
        <f>DM229+DN229</f>
        <v>0</v>
      </c>
      <c r="DM229" s="164">
        <v>0</v>
      </c>
      <c r="DN229" s="164"/>
      <c r="DO229" s="164">
        <f>DP229+DQ229</f>
        <v>0</v>
      </c>
      <c r="DP229" s="164">
        <v>0</v>
      </c>
      <c r="DQ229" s="164"/>
      <c r="DR229" s="164">
        <f t="shared" ref="DR229:DR242" si="551">DS229+DT229</f>
        <v>0</v>
      </c>
      <c r="DS229" s="164">
        <v>0</v>
      </c>
      <c r="DT229" s="164"/>
      <c r="DU229" s="164">
        <f t="shared" si="542"/>
        <v>0</v>
      </c>
      <c r="DV229" s="164">
        <v>0</v>
      </c>
      <c r="DW229" s="164"/>
      <c r="DX229" s="164">
        <f t="shared" si="543"/>
        <v>40000</v>
      </c>
      <c r="DY229" s="164">
        <v>40000</v>
      </c>
      <c r="DZ229" s="164"/>
      <c r="EA229" s="164"/>
      <c r="EB229" s="164"/>
      <c r="EC229" s="164"/>
      <c r="ED229" s="164">
        <f>EE229</f>
        <v>0</v>
      </c>
      <c r="EE229" s="164">
        <f>EH229-DV229</f>
        <v>0</v>
      </c>
      <c r="EF229" s="164"/>
      <c r="EG229" s="164">
        <f t="shared" si="485"/>
        <v>0</v>
      </c>
      <c r="EH229" s="164">
        <v>0</v>
      </c>
      <c r="EI229" s="164"/>
      <c r="EJ229" s="164"/>
      <c r="EK229" s="164">
        <f>EL229+EN229</f>
        <v>0</v>
      </c>
      <c r="EL229" s="164"/>
      <c r="EM229" s="164"/>
      <c r="EN229" s="164"/>
      <c r="EO229" s="164">
        <f>EP229+ER229</f>
        <v>0</v>
      </c>
      <c r="EP229" s="164"/>
      <c r="EQ229" s="164"/>
      <c r="ER229" s="164"/>
      <c r="ES229" s="164"/>
      <c r="ET229" s="164"/>
      <c r="EU229" s="164"/>
      <c r="EV229" s="164"/>
      <c r="EW229" s="164">
        <f t="shared" si="544"/>
        <v>0</v>
      </c>
      <c r="EX229" s="164">
        <v>0</v>
      </c>
      <c r="EY229" s="164"/>
      <c r="EZ229" s="164">
        <f t="shared" si="511"/>
        <v>0</v>
      </c>
      <c r="FA229" s="164">
        <f>FD229-EX229</f>
        <v>0</v>
      </c>
      <c r="FB229" s="164"/>
      <c r="FC229" s="163">
        <f t="shared" si="501"/>
        <v>0</v>
      </c>
      <c r="FD229" s="163">
        <v>0</v>
      </c>
      <c r="FE229" s="163"/>
      <c r="FF229" s="163"/>
      <c r="FG229" s="163">
        <f>FH229+FJ229</f>
        <v>0</v>
      </c>
      <c r="FH229" s="163"/>
      <c r="FI229" s="163"/>
      <c r="FJ229" s="163"/>
      <c r="FK229" s="163">
        <f>FL229+FN229</f>
        <v>0</v>
      </c>
      <c r="FL229" s="163"/>
      <c r="FM229" s="163"/>
      <c r="FN229" s="163"/>
      <c r="FO229" s="163">
        <f t="shared" si="488"/>
        <v>0</v>
      </c>
      <c r="FP229" s="163">
        <v>0</v>
      </c>
      <c r="FQ229" s="163"/>
      <c r="FR229" s="163"/>
      <c r="FS229" s="163">
        <f t="shared" si="508"/>
        <v>0</v>
      </c>
      <c r="FT229" s="583" t="e">
        <f t="shared" si="506"/>
        <v>#DIV/0!</v>
      </c>
      <c r="FU229" s="163"/>
      <c r="FV229" s="583" t="e">
        <f t="shared" si="507"/>
        <v>#DIV/0!</v>
      </c>
      <c r="FW229" s="164"/>
      <c r="FX229" s="164"/>
      <c r="FY229" s="164"/>
      <c r="FZ229" s="164"/>
      <c r="GA229" s="163"/>
      <c r="GB229" s="583"/>
      <c r="GC229" s="163"/>
      <c r="GD229" s="583"/>
      <c r="GE229" s="163"/>
      <c r="GF229" s="164"/>
      <c r="GG229" s="163"/>
      <c r="GH229" s="164"/>
      <c r="GI229" s="163"/>
      <c r="GJ229" s="583" t="e">
        <f t="shared" si="471"/>
        <v>#DIV/0!</v>
      </c>
      <c r="GK229" s="163"/>
      <c r="GL229" s="583" t="e">
        <f t="shared" si="472"/>
        <v>#DIV/0!</v>
      </c>
      <c r="GM229" s="163"/>
      <c r="GN229" s="574"/>
      <c r="GO229" s="163"/>
      <c r="GP229" s="574"/>
      <c r="GQ229" s="164"/>
      <c r="GR229" s="164"/>
      <c r="GS229" s="164"/>
      <c r="GT229" s="164"/>
      <c r="GU229" s="164">
        <f t="shared" si="489"/>
        <v>0</v>
      </c>
      <c r="GV229" s="164">
        <v>0</v>
      </c>
      <c r="GW229" s="164"/>
      <c r="GX229" s="164"/>
      <c r="GY229" s="164"/>
      <c r="GZ229" s="164"/>
      <c r="HA229" s="164"/>
      <c r="HB229" s="164"/>
      <c r="HC229" s="164"/>
      <c r="HD229" s="164"/>
      <c r="HE229" s="164"/>
      <c r="HF229" s="164"/>
      <c r="HG229" s="164">
        <f t="shared" si="512"/>
        <v>0</v>
      </c>
      <c r="HH229" s="164">
        <v>0</v>
      </c>
      <c r="HI229" s="164"/>
      <c r="HJ229" s="164"/>
      <c r="HK229" s="164">
        <f t="shared" si="491"/>
        <v>0</v>
      </c>
      <c r="HL229" s="164">
        <v>0</v>
      </c>
      <c r="HM229" s="164"/>
      <c r="HN229" s="164"/>
      <c r="HO229" s="164">
        <f t="shared" si="492"/>
        <v>0</v>
      </c>
      <c r="HP229" s="164">
        <v>0</v>
      </c>
      <c r="HQ229" s="164"/>
      <c r="HR229" s="164"/>
      <c r="HS229" s="164">
        <f t="shared" si="493"/>
        <v>0</v>
      </c>
      <c r="HT229" s="164">
        <v>0</v>
      </c>
      <c r="HU229" s="164"/>
      <c r="HV229" s="164"/>
      <c r="HW229" s="164">
        <f t="shared" si="494"/>
        <v>0</v>
      </c>
      <c r="HX229" s="164">
        <f t="shared" si="545"/>
        <v>0</v>
      </c>
      <c r="HY229" s="164"/>
      <c r="HZ229" s="164"/>
      <c r="IA229" s="164">
        <f t="shared" si="495"/>
        <v>0</v>
      </c>
      <c r="IB229" s="164">
        <v>0</v>
      </c>
      <c r="IC229" s="164"/>
      <c r="ID229" s="164"/>
      <c r="IE229" s="200"/>
      <c r="IF229" s="170"/>
      <c r="IG229" s="170"/>
      <c r="IH229" s="170"/>
    </row>
    <row r="230" spans="1:242" s="129" customFormat="1" ht="25.5" hidden="1" customHeight="1" x14ac:dyDescent="0.25">
      <c r="B230" s="178"/>
      <c r="C230" s="257" t="s">
        <v>331</v>
      </c>
      <c r="D230" s="258" t="s">
        <v>149</v>
      </c>
      <c r="E230" s="259">
        <f t="shared" si="513"/>
        <v>0</v>
      </c>
      <c r="F230" s="259"/>
      <c r="G230" s="259"/>
      <c r="H230" s="259">
        <f t="shared" si="514"/>
        <v>0</v>
      </c>
      <c r="I230" s="259">
        <f>L230-F230</f>
        <v>0</v>
      </c>
      <c r="J230" s="259">
        <f>M230-G230</f>
        <v>0</v>
      </c>
      <c r="K230" s="259">
        <f t="shared" si="516"/>
        <v>0</v>
      </c>
      <c r="L230" s="259"/>
      <c r="M230" s="259"/>
      <c r="N230" s="259">
        <f t="shared" si="517"/>
        <v>0</v>
      </c>
      <c r="O230" s="259">
        <f>R230-L230</f>
        <v>0</v>
      </c>
      <c r="P230" s="259">
        <f>S230-M230</f>
        <v>0</v>
      </c>
      <c r="Q230" s="259">
        <f t="shared" si="519"/>
        <v>0</v>
      </c>
      <c r="R230" s="259"/>
      <c r="S230" s="259"/>
      <c r="T230" s="259">
        <f t="shared" si="520"/>
        <v>0</v>
      </c>
      <c r="U230" s="259"/>
      <c r="V230" s="259"/>
      <c r="W230" s="259">
        <f t="shared" si="521"/>
        <v>0</v>
      </c>
      <c r="X230" s="259">
        <f>AA230-U230</f>
        <v>0</v>
      </c>
      <c r="Y230" s="259">
        <f>AB230-V230</f>
        <v>0</v>
      </c>
      <c r="Z230" s="189">
        <f t="shared" si="523"/>
        <v>0</v>
      </c>
      <c r="AA230" s="189"/>
      <c r="AB230" s="189"/>
      <c r="AC230" s="189">
        <f t="shared" si="524"/>
        <v>0</v>
      </c>
      <c r="AD230" s="189"/>
      <c r="AE230" s="189"/>
      <c r="AF230" s="189">
        <f t="shared" si="525"/>
        <v>0</v>
      </c>
      <c r="AG230" s="189"/>
      <c r="AH230" s="189"/>
      <c r="AI230" s="189"/>
      <c r="AJ230" s="189"/>
      <c r="AK230" s="181">
        <f t="shared" si="526"/>
        <v>0</v>
      </c>
      <c r="AL230" s="181">
        <f>AA230-AK230</f>
        <v>0</v>
      </c>
      <c r="AM230" s="746"/>
      <c r="AN230" s="189"/>
      <c r="AO230" s="181">
        <v>1</v>
      </c>
      <c r="AP230" s="189"/>
      <c r="AQ230" s="189"/>
      <c r="AR230" s="189"/>
      <c r="AS230" s="189">
        <f t="shared" si="527"/>
        <v>0</v>
      </c>
      <c r="AT230" s="189"/>
      <c r="AU230" s="189"/>
      <c r="AV230" s="189">
        <f t="shared" si="528"/>
        <v>0</v>
      </c>
      <c r="AW230" s="189">
        <f>AZ230-AT230</f>
        <v>0</v>
      </c>
      <c r="AX230" s="189">
        <f>BA230-AU230</f>
        <v>0</v>
      </c>
      <c r="AY230" s="189">
        <f t="shared" si="529"/>
        <v>0</v>
      </c>
      <c r="AZ230" s="189"/>
      <c r="BA230" s="189"/>
      <c r="BB230" s="189">
        <f t="shared" si="530"/>
        <v>0</v>
      </c>
      <c r="BC230" s="189"/>
      <c r="BD230" s="189"/>
      <c r="BE230" s="189">
        <f t="shared" si="531"/>
        <v>0</v>
      </c>
      <c r="BF230" s="189">
        <f>BW230-BC230</f>
        <v>0</v>
      </c>
      <c r="BG230" s="189">
        <f>BX230-BD230</f>
        <v>0</v>
      </c>
      <c r="BH230" s="189">
        <f t="shared" si="533"/>
        <v>0</v>
      </c>
      <c r="BI230" s="189"/>
      <c r="BJ230" s="189"/>
      <c r="BK230" s="181">
        <v>1</v>
      </c>
      <c r="BL230" s="105">
        <f t="shared" si="534"/>
        <v>0</v>
      </c>
      <c r="BM230" s="105"/>
      <c r="BN230" s="105"/>
      <c r="BO230" s="105"/>
      <c r="BP230" s="105"/>
      <c r="BQ230" s="105"/>
      <c r="BR230" s="105"/>
      <c r="BS230" s="105"/>
      <c r="BT230" s="105"/>
      <c r="BU230" s="105"/>
      <c r="BV230" s="189">
        <f>BW230+BX230</f>
        <v>0</v>
      </c>
      <c r="BW230" s="259"/>
      <c r="BX230" s="259"/>
      <c r="BY230" s="189">
        <f t="shared" si="535"/>
        <v>0</v>
      </c>
      <c r="BZ230" s="189">
        <f>CC230-BW230</f>
        <v>0</v>
      </c>
      <c r="CA230" s="189">
        <f>CD230-BX230</f>
        <v>0</v>
      </c>
      <c r="CB230" s="189">
        <f>CC230+CD230</f>
        <v>0</v>
      </c>
      <c r="CC230" s="259"/>
      <c r="CD230" s="259"/>
      <c r="CE230" s="181">
        <v>1</v>
      </c>
      <c r="CF230" s="105">
        <f t="shared" si="536"/>
        <v>0</v>
      </c>
      <c r="CG230" s="189"/>
      <c r="CH230" s="189">
        <f t="shared" si="537"/>
        <v>0</v>
      </c>
      <c r="CI230" s="189"/>
      <c r="CJ230" s="189"/>
      <c r="CK230" s="189">
        <f t="shared" si="538"/>
        <v>0</v>
      </c>
      <c r="CL230" s="189">
        <f>CR230-CI230</f>
        <v>0</v>
      </c>
      <c r="CM230" s="189">
        <f>CS230-CJ230</f>
        <v>0</v>
      </c>
      <c r="CN230" s="181">
        <f>CN236+CN242</f>
        <v>0</v>
      </c>
      <c r="CO230" s="181">
        <f>CO236+CO242</f>
        <v>0</v>
      </c>
      <c r="CP230" s="181">
        <f>CP236+CP242</f>
        <v>0</v>
      </c>
      <c r="CQ230" s="189">
        <f t="shared" si="540"/>
        <v>0</v>
      </c>
      <c r="CR230" s="189"/>
      <c r="CS230" s="189"/>
      <c r="CT230" s="189">
        <f>CU230+CV230</f>
        <v>0</v>
      </c>
      <c r="CU230" s="259"/>
      <c r="CV230" s="259"/>
      <c r="CW230" s="189">
        <f>CX230+CY230</f>
        <v>0</v>
      </c>
      <c r="CX230" s="259"/>
      <c r="CY230" s="259"/>
      <c r="CZ230" s="189">
        <f t="shared" si="541"/>
        <v>0</v>
      </c>
      <c r="DA230" s="189"/>
      <c r="DB230" s="189"/>
      <c r="DC230" s="189"/>
      <c r="DD230" s="189"/>
      <c r="DE230" s="189"/>
      <c r="DF230" s="189">
        <f t="shared" si="549"/>
        <v>0</v>
      </c>
      <c r="DG230" s="259"/>
      <c r="DH230" s="259"/>
      <c r="DI230" s="189">
        <f t="shared" si="550"/>
        <v>0</v>
      </c>
      <c r="DJ230" s="259"/>
      <c r="DK230" s="259"/>
      <c r="DL230" s="189">
        <f>DM230+DN230</f>
        <v>0</v>
      </c>
      <c r="DM230" s="259"/>
      <c r="DN230" s="259"/>
      <c r="DO230" s="189">
        <f>DP230+DQ230</f>
        <v>0</v>
      </c>
      <c r="DP230" s="259"/>
      <c r="DQ230" s="259"/>
      <c r="DR230" s="189">
        <f t="shared" si="551"/>
        <v>0</v>
      </c>
      <c r="DS230" s="259"/>
      <c r="DT230" s="259"/>
      <c r="DU230" s="189">
        <f t="shared" si="542"/>
        <v>0</v>
      </c>
      <c r="DV230" s="189"/>
      <c r="DW230" s="189"/>
      <c r="DX230" s="189">
        <f t="shared" si="543"/>
        <v>0</v>
      </c>
      <c r="DY230" s="189"/>
      <c r="DZ230" s="189"/>
      <c r="EA230" s="189"/>
      <c r="EB230" s="189"/>
      <c r="EC230" s="189"/>
      <c r="ED230" s="189"/>
      <c r="EE230" s="189"/>
      <c r="EF230" s="189"/>
      <c r="EG230" s="181"/>
      <c r="EH230" s="181"/>
      <c r="EI230" s="181"/>
      <c r="EJ230" s="189"/>
      <c r="EK230" s="189">
        <f>EL230+EN230</f>
        <v>0</v>
      </c>
      <c r="EL230" s="259"/>
      <c r="EM230" s="259"/>
      <c r="EN230" s="259"/>
      <c r="EO230" s="189">
        <f>EP230+ER230</f>
        <v>0</v>
      </c>
      <c r="EP230" s="259"/>
      <c r="EQ230" s="259"/>
      <c r="ER230" s="259"/>
      <c r="ES230" s="192"/>
      <c r="ET230" s="259"/>
      <c r="EU230" s="259"/>
      <c r="EV230" s="259"/>
      <c r="EW230" s="189">
        <f t="shared" si="544"/>
        <v>0</v>
      </c>
      <c r="EX230" s="189"/>
      <c r="EY230" s="189"/>
      <c r="EZ230" s="189"/>
      <c r="FA230" s="189"/>
      <c r="FB230" s="189"/>
      <c r="FC230" s="180"/>
      <c r="FD230" s="180"/>
      <c r="FE230" s="180"/>
      <c r="FF230" s="188"/>
      <c r="FG230" s="188">
        <f>FH230+FJ230</f>
        <v>0</v>
      </c>
      <c r="FH230" s="352"/>
      <c r="FI230" s="352"/>
      <c r="FJ230" s="352"/>
      <c r="FK230" s="188">
        <f>FL230+FN230</f>
        <v>0</v>
      </c>
      <c r="FL230" s="352"/>
      <c r="FM230" s="352"/>
      <c r="FN230" s="352"/>
      <c r="FO230" s="180"/>
      <c r="FP230" s="180"/>
      <c r="FQ230" s="180"/>
      <c r="FR230" s="188"/>
      <c r="FS230" s="163">
        <f t="shared" si="508"/>
        <v>0</v>
      </c>
      <c r="FT230" s="584" t="e">
        <f t="shared" si="506"/>
        <v>#DIV/0!</v>
      </c>
      <c r="FU230" s="163"/>
      <c r="FV230" s="584" t="e">
        <f t="shared" si="507"/>
        <v>#DIV/0!</v>
      </c>
      <c r="FW230" s="189"/>
      <c r="FX230" s="189"/>
      <c r="FY230" s="189"/>
      <c r="FZ230" s="189"/>
      <c r="GA230" s="163"/>
      <c r="GB230" s="584"/>
      <c r="GC230" s="163"/>
      <c r="GD230" s="584"/>
      <c r="GE230" s="188"/>
      <c r="GF230" s="189"/>
      <c r="GG230" s="188"/>
      <c r="GH230" s="189"/>
      <c r="GI230" s="163"/>
      <c r="GJ230" s="584" t="e">
        <f t="shared" si="471"/>
        <v>#DIV/0!</v>
      </c>
      <c r="GK230" s="188"/>
      <c r="GL230" s="584" t="e">
        <f t="shared" si="472"/>
        <v>#DIV/0!</v>
      </c>
      <c r="GM230" s="188"/>
      <c r="GN230" s="574"/>
      <c r="GO230" s="188"/>
      <c r="GP230" s="574"/>
      <c r="GQ230" s="189"/>
      <c r="GR230" s="189"/>
      <c r="GS230" s="189"/>
      <c r="GT230" s="189"/>
      <c r="GU230" s="181"/>
      <c r="GV230" s="181"/>
      <c r="GW230" s="181"/>
      <c r="GX230" s="189"/>
      <c r="GY230" s="189"/>
      <c r="GZ230" s="189"/>
      <c r="HA230" s="189"/>
      <c r="HB230" s="189"/>
      <c r="HC230" s="189"/>
      <c r="HD230" s="189"/>
      <c r="HE230" s="189"/>
      <c r="HF230" s="189"/>
      <c r="HG230" s="181"/>
      <c r="HH230" s="181"/>
      <c r="HI230" s="181"/>
      <c r="HJ230" s="189"/>
      <c r="HK230" s="181"/>
      <c r="HL230" s="181"/>
      <c r="HM230" s="181"/>
      <c r="HN230" s="189"/>
      <c r="HO230" s="181"/>
      <c r="HP230" s="181"/>
      <c r="HQ230" s="181"/>
      <c r="HR230" s="189"/>
      <c r="HS230" s="181"/>
      <c r="HT230" s="181"/>
      <c r="HU230" s="181"/>
      <c r="HV230" s="189"/>
      <c r="HW230" s="181"/>
      <c r="HX230" s="164">
        <f t="shared" si="545"/>
        <v>0</v>
      </c>
      <c r="HY230" s="181"/>
      <c r="HZ230" s="189"/>
      <c r="IA230" s="181"/>
      <c r="IB230" s="181"/>
      <c r="IC230" s="181"/>
      <c r="ID230" s="189"/>
      <c r="IE230" s="200"/>
      <c r="IF230" s="193"/>
      <c r="IG230" s="193"/>
      <c r="IH230" s="193"/>
    </row>
    <row r="231" spans="1:242" s="239" customFormat="1" ht="112.5" hidden="1" customHeight="1" x14ac:dyDescent="0.25">
      <c r="B231" s="131"/>
      <c r="C231" s="260"/>
      <c r="D231" s="260"/>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261"/>
      <c r="AL231" s="261"/>
      <c r="AM231" s="262"/>
      <c r="AN231" s="263"/>
      <c r="AO231" s="264"/>
      <c r="AP231" s="139"/>
      <c r="AQ231" s="139"/>
      <c r="AR231" s="139"/>
      <c r="AS231" s="136"/>
      <c r="AT231" s="136"/>
      <c r="AU231" s="136"/>
      <c r="AV231" s="136"/>
      <c r="AW231" s="136"/>
      <c r="AX231" s="136"/>
      <c r="AY231" s="136"/>
      <c r="AZ231" s="136"/>
      <c r="BA231" s="136"/>
      <c r="BB231" s="136"/>
      <c r="BC231" s="136"/>
      <c r="BD231" s="136"/>
      <c r="BE231" s="136"/>
      <c r="BF231" s="136"/>
      <c r="BG231" s="136"/>
      <c r="BH231" s="136"/>
      <c r="BI231" s="136"/>
      <c r="BJ231" s="136"/>
      <c r="BK231" s="264"/>
      <c r="BL231" s="136"/>
      <c r="BM231" s="136"/>
      <c r="BN231" s="136"/>
      <c r="BO231" s="136"/>
      <c r="BP231" s="136"/>
      <c r="BQ231" s="136"/>
      <c r="BR231" s="136"/>
      <c r="BS231" s="136"/>
      <c r="BT231" s="136"/>
      <c r="BU231" s="136"/>
      <c r="BV231" s="136"/>
      <c r="BW231" s="136"/>
      <c r="BX231" s="136"/>
      <c r="BY231" s="136"/>
      <c r="BZ231" s="136"/>
      <c r="CA231" s="136"/>
      <c r="CB231" s="136"/>
      <c r="CC231" s="136"/>
      <c r="CD231" s="136"/>
      <c r="CE231" s="264"/>
      <c r="CF231" s="136"/>
      <c r="CG231" s="260"/>
      <c r="CH231" s="136"/>
      <c r="CI231" s="136"/>
      <c r="CJ231" s="136"/>
      <c r="CK231" s="136"/>
      <c r="CL231" s="136"/>
      <c r="CM231" s="136"/>
      <c r="CN231" s="264"/>
      <c r="CO231" s="264"/>
      <c r="CP231" s="264"/>
      <c r="CQ231" s="136"/>
      <c r="CR231" s="136"/>
      <c r="CS231" s="136"/>
      <c r="CT231" s="136"/>
      <c r="CU231" s="136"/>
      <c r="CV231" s="136"/>
      <c r="CW231" s="136"/>
      <c r="CX231" s="136"/>
      <c r="CY231" s="136"/>
      <c r="CZ231" s="136"/>
      <c r="DA231" s="136"/>
      <c r="DB231" s="136"/>
      <c r="DC231" s="136"/>
      <c r="DD231" s="136"/>
      <c r="DE231" s="136"/>
      <c r="DF231" s="136"/>
      <c r="DG231" s="136"/>
      <c r="DH231" s="136"/>
      <c r="DI231" s="136"/>
      <c r="DJ231" s="136"/>
      <c r="DK231" s="136"/>
      <c r="DL231" s="136"/>
      <c r="DM231" s="136"/>
      <c r="DN231" s="136"/>
      <c r="DO231" s="136"/>
      <c r="DP231" s="136"/>
      <c r="DQ231" s="136"/>
      <c r="DR231" s="136"/>
      <c r="DS231" s="136"/>
      <c r="DT231" s="136"/>
      <c r="DU231" s="136"/>
      <c r="DV231" s="136"/>
      <c r="DW231" s="136"/>
      <c r="DX231" s="136"/>
      <c r="DY231" s="136"/>
      <c r="DZ231" s="136"/>
      <c r="EA231" s="136"/>
      <c r="EB231" s="136"/>
      <c r="EC231" s="136"/>
      <c r="ED231" s="136"/>
      <c r="EE231" s="136"/>
      <c r="EF231" s="136"/>
      <c r="EG231" s="264"/>
      <c r="EH231" s="264"/>
      <c r="EI231" s="264"/>
      <c r="EJ231" s="136"/>
      <c r="EK231" s="264"/>
      <c r="EL231" s="264"/>
      <c r="EM231" s="264"/>
      <c r="EN231" s="264"/>
      <c r="EO231" s="264"/>
      <c r="EP231" s="264"/>
      <c r="EQ231" s="264"/>
      <c r="ER231" s="264"/>
      <c r="ES231" s="264"/>
      <c r="ET231" s="264"/>
      <c r="EU231" s="136"/>
      <c r="EV231" s="136"/>
      <c r="EW231" s="136"/>
      <c r="EX231" s="136"/>
      <c r="EY231" s="136"/>
      <c r="EZ231" s="136"/>
      <c r="FA231" s="136"/>
      <c r="FB231" s="136"/>
      <c r="FC231" s="343"/>
      <c r="FD231" s="343"/>
      <c r="FE231" s="343"/>
      <c r="FF231" s="343"/>
      <c r="FG231" s="343"/>
      <c r="FH231" s="343"/>
      <c r="FI231" s="343"/>
      <c r="FJ231" s="134"/>
      <c r="FK231" s="343"/>
      <c r="FL231" s="343"/>
      <c r="FM231" s="343"/>
      <c r="FN231" s="343"/>
      <c r="FO231" s="343"/>
      <c r="FP231" s="343"/>
      <c r="FQ231" s="343"/>
      <c r="FR231" s="134"/>
      <c r="FS231" s="134"/>
      <c r="FT231" s="585" t="e">
        <f t="shared" si="506"/>
        <v>#DIV/0!</v>
      </c>
      <c r="FU231" s="134"/>
      <c r="FV231" s="585" t="e">
        <f t="shared" si="507"/>
        <v>#DIV/0!</v>
      </c>
      <c r="FW231" s="136"/>
      <c r="FX231" s="136"/>
      <c r="FY231" s="136"/>
      <c r="FZ231" s="136"/>
      <c r="GA231" s="134"/>
      <c r="GB231" s="585"/>
      <c r="GC231" s="134"/>
      <c r="GD231" s="576"/>
      <c r="GE231" s="134"/>
      <c r="GF231" s="136"/>
      <c r="GG231" s="134"/>
      <c r="GH231" s="136"/>
      <c r="GI231" s="134">
        <f>GK231</f>
        <v>349467.49809000001</v>
      </c>
      <c r="GJ231" s="576" t="e">
        <f t="shared" si="471"/>
        <v>#DIV/0!</v>
      </c>
      <c r="GK231" s="134">
        <f>GK232</f>
        <v>349467.49809000001</v>
      </c>
      <c r="GL231" s="576" t="e">
        <f t="shared" si="472"/>
        <v>#DIV/0!</v>
      </c>
      <c r="GM231" s="134"/>
      <c r="GN231" s="574"/>
      <c r="GO231" s="134"/>
      <c r="GP231" s="574"/>
      <c r="GQ231" s="136"/>
      <c r="GR231" s="136"/>
      <c r="GS231" s="136"/>
      <c r="GT231" s="136"/>
      <c r="GU231" s="264">
        <f>GV231</f>
        <v>0</v>
      </c>
      <c r="GV231" s="264">
        <f>GV232</f>
        <v>0</v>
      </c>
      <c r="GW231" s="264"/>
      <c r="GX231" s="136"/>
      <c r="GY231" s="136"/>
      <c r="GZ231" s="136"/>
      <c r="HA231" s="136"/>
      <c r="HB231" s="136"/>
      <c r="HC231" s="136"/>
      <c r="HD231" s="136"/>
      <c r="HE231" s="136"/>
      <c r="HF231" s="136"/>
      <c r="HG231" s="264">
        <f>HH231</f>
        <v>141697.15833999999</v>
      </c>
      <c r="HH231" s="264">
        <f>HH232</f>
        <v>141697.15833999999</v>
      </c>
      <c r="HI231" s="264"/>
      <c r="HJ231" s="136"/>
      <c r="HK231" s="264"/>
      <c r="HL231" s="264"/>
      <c r="HM231" s="264"/>
      <c r="HN231" s="136"/>
      <c r="HO231" s="264">
        <f>HP231</f>
        <v>141697.15833999999</v>
      </c>
      <c r="HP231" s="264">
        <f>HP232</f>
        <v>141697.15833999999</v>
      </c>
      <c r="HQ231" s="264"/>
      <c r="HR231" s="136"/>
      <c r="HS231" s="264">
        <f>HT231</f>
        <v>0</v>
      </c>
      <c r="HT231" s="264">
        <f>HT232</f>
        <v>0</v>
      </c>
      <c r="HU231" s="264"/>
      <c r="HV231" s="136"/>
      <c r="HW231" s="264">
        <f>HX231</f>
        <v>132291.77691000002</v>
      </c>
      <c r="HX231" s="264">
        <f>HX232</f>
        <v>132291.77691000002</v>
      </c>
      <c r="HY231" s="264"/>
      <c r="HZ231" s="136"/>
      <c r="IA231" s="264">
        <f>IB231</f>
        <v>132291.77691000002</v>
      </c>
      <c r="IB231" s="264">
        <f>IB232</f>
        <v>132291.77691000002</v>
      </c>
      <c r="IC231" s="264"/>
      <c r="ID231" s="136"/>
      <c r="IE231" s="199"/>
      <c r="IF231" s="265"/>
      <c r="IG231" s="265"/>
      <c r="IH231" s="265"/>
    </row>
    <row r="232" spans="1:242" s="129" customFormat="1" ht="100.5" hidden="1" customHeight="1" x14ac:dyDescent="0.25">
      <c r="B232" s="241"/>
      <c r="C232" s="174"/>
      <c r="D232" s="258"/>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189"/>
      <c r="AA232" s="189"/>
      <c r="AB232" s="189"/>
      <c r="AC232" s="189"/>
      <c r="AD232" s="189"/>
      <c r="AE232" s="189"/>
      <c r="AF232" s="189"/>
      <c r="AG232" s="189"/>
      <c r="AH232" s="189"/>
      <c r="AI232" s="189"/>
      <c r="AJ232" s="189"/>
      <c r="AK232" s="181"/>
      <c r="AL232" s="181"/>
      <c r="AM232" s="190"/>
      <c r="AN232" s="189"/>
      <c r="AO232" s="181"/>
      <c r="AP232" s="189"/>
      <c r="AQ232" s="189"/>
      <c r="AR232" s="189"/>
      <c r="AS232" s="189"/>
      <c r="AT232" s="189"/>
      <c r="AU232" s="189"/>
      <c r="AV232" s="189"/>
      <c r="AW232" s="189"/>
      <c r="AX232" s="189"/>
      <c r="AY232" s="189"/>
      <c r="AZ232" s="189"/>
      <c r="BA232" s="189"/>
      <c r="BB232" s="189"/>
      <c r="BC232" s="189"/>
      <c r="BD232" s="189"/>
      <c r="BE232" s="189"/>
      <c r="BF232" s="189"/>
      <c r="BG232" s="189"/>
      <c r="BH232" s="189"/>
      <c r="BI232" s="189"/>
      <c r="BJ232" s="189"/>
      <c r="BK232" s="181"/>
      <c r="BL232" s="105"/>
      <c r="BM232" s="105"/>
      <c r="BN232" s="105"/>
      <c r="BO232" s="105"/>
      <c r="BP232" s="105"/>
      <c r="BQ232" s="105"/>
      <c r="BR232" s="105"/>
      <c r="BS232" s="105"/>
      <c r="BT232" s="105"/>
      <c r="BU232" s="105"/>
      <c r="BV232" s="189"/>
      <c r="BW232" s="259"/>
      <c r="BX232" s="259"/>
      <c r="BY232" s="189"/>
      <c r="BZ232" s="189"/>
      <c r="CA232" s="189"/>
      <c r="CB232" s="189"/>
      <c r="CC232" s="259"/>
      <c r="CD232" s="259"/>
      <c r="CE232" s="181"/>
      <c r="CF232" s="105"/>
      <c r="CG232" s="189"/>
      <c r="CH232" s="189"/>
      <c r="CI232" s="189"/>
      <c r="CJ232" s="189"/>
      <c r="CK232" s="189"/>
      <c r="CL232" s="189"/>
      <c r="CM232" s="189"/>
      <c r="CN232" s="181"/>
      <c r="CO232" s="181"/>
      <c r="CP232" s="181"/>
      <c r="CQ232" s="189"/>
      <c r="CR232" s="189"/>
      <c r="CS232" s="189"/>
      <c r="CT232" s="189"/>
      <c r="CU232" s="259"/>
      <c r="CV232" s="259"/>
      <c r="CW232" s="189"/>
      <c r="CX232" s="259"/>
      <c r="CY232" s="259"/>
      <c r="CZ232" s="189"/>
      <c r="DA232" s="189"/>
      <c r="DB232" s="189"/>
      <c r="DC232" s="189"/>
      <c r="DD232" s="189"/>
      <c r="DE232" s="189"/>
      <c r="DF232" s="189"/>
      <c r="DG232" s="259"/>
      <c r="DH232" s="259"/>
      <c r="DI232" s="189"/>
      <c r="DJ232" s="259"/>
      <c r="DK232" s="259"/>
      <c r="DL232" s="189"/>
      <c r="DM232" s="259"/>
      <c r="DN232" s="259"/>
      <c r="DO232" s="189"/>
      <c r="DP232" s="259"/>
      <c r="DQ232" s="259"/>
      <c r="DR232" s="189"/>
      <c r="DS232" s="259"/>
      <c r="DT232" s="259"/>
      <c r="DU232" s="189"/>
      <c r="DV232" s="189"/>
      <c r="DW232" s="189"/>
      <c r="DX232" s="189"/>
      <c r="DY232" s="189"/>
      <c r="DZ232" s="189"/>
      <c r="EA232" s="189"/>
      <c r="EB232" s="189"/>
      <c r="EC232" s="189"/>
      <c r="ED232" s="189"/>
      <c r="EE232" s="189"/>
      <c r="EF232" s="189"/>
      <c r="EG232" s="181"/>
      <c r="EH232" s="181"/>
      <c r="EI232" s="181"/>
      <c r="EJ232" s="189"/>
      <c r="EK232" s="189"/>
      <c r="EL232" s="259"/>
      <c r="EM232" s="259"/>
      <c r="EN232" s="259"/>
      <c r="EO232" s="189"/>
      <c r="EP232" s="259"/>
      <c r="EQ232" s="259"/>
      <c r="ER232" s="259"/>
      <c r="ES232" s="192"/>
      <c r="ET232" s="259"/>
      <c r="EU232" s="259"/>
      <c r="EV232" s="259"/>
      <c r="EW232" s="189"/>
      <c r="EX232" s="189"/>
      <c r="EY232" s="189"/>
      <c r="EZ232" s="189"/>
      <c r="FA232" s="189"/>
      <c r="FB232" s="189"/>
      <c r="FC232" s="152"/>
      <c r="FD232" s="152"/>
      <c r="FE232" s="180"/>
      <c r="FF232" s="188"/>
      <c r="FG232" s="180"/>
      <c r="FH232" s="180"/>
      <c r="FI232" s="352"/>
      <c r="FJ232" s="352"/>
      <c r="FK232" s="188"/>
      <c r="FL232" s="352"/>
      <c r="FM232" s="352"/>
      <c r="FN232" s="352"/>
      <c r="FO232" s="180"/>
      <c r="FP232" s="180"/>
      <c r="FQ232" s="180"/>
      <c r="FR232" s="188"/>
      <c r="FS232" s="152"/>
      <c r="FT232" s="574" t="e">
        <f t="shared" si="506"/>
        <v>#DIV/0!</v>
      </c>
      <c r="FU232" s="152"/>
      <c r="FV232" s="574" t="e">
        <f t="shared" si="507"/>
        <v>#DIV/0!</v>
      </c>
      <c r="FW232" s="189"/>
      <c r="FX232" s="189"/>
      <c r="FY232" s="189"/>
      <c r="FZ232" s="189"/>
      <c r="GA232" s="152"/>
      <c r="GB232" s="574"/>
      <c r="GC232" s="152"/>
      <c r="GD232" s="574"/>
      <c r="GE232" s="188"/>
      <c r="GF232" s="189"/>
      <c r="GG232" s="188"/>
      <c r="GH232" s="189"/>
      <c r="GI232" s="152">
        <f>GK232</f>
        <v>349467.49809000001</v>
      </c>
      <c r="GJ232" s="574" t="e">
        <f t="shared" si="471"/>
        <v>#DIV/0!</v>
      </c>
      <c r="GK232" s="152">
        <f>GK233+GK234</f>
        <v>349467.49809000001</v>
      </c>
      <c r="GL232" s="574" t="e">
        <f t="shared" si="472"/>
        <v>#DIV/0!</v>
      </c>
      <c r="GM232" s="188"/>
      <c r="GN232" s="574"/>
      <c r="GO232" s="188"/>
      <c r="GP232" s="574"/>
      <c r="GQ232" s="189"/>
      <c r="GR232" s="189"/>
      <c r="GS232" s="189"/>
      <c r="GT232" s="189"/>
      <c r="GU232" s="181">
        <f>GV232</f>
        <v>0</v>
      </c>
      <c r="GV232" s="181">
        <f>GV233+GV234</f>
        <v>0</v>
      </c>
      <c r="GW232" s="181"/>
      <c r="GX232" s="189"/>
      <c r="GY232" s="189"/>
      <c r="GZ232" s="189"/>
      <c r="HA232" s="189"/>
      <c r="HB232" s="189"/>
      <c r="HC232" s="189"/>
      <c r="HD232" s="189"/>
      <c r="HE232" s="189"/>
      <c r="HF232" s="189"/>
      <c r="HG232" s="181">
        <f>HH232</f>
        <v>141697.15833999999</v>
      </c>
      <c r="HH232" s="181">
        <f>HH233+HH234</f>
        <v>141697.15833999999</v>
      </c>
      <c r="HI232" s="181"/>
      <c r="HJ232" s="189"/>
      <c r="HK232" s="181"/>
      <c r="HL232" s="181"/>
      <c r="HM232" s="181"/>
      <c r="HN232" s="189"/>
      <c r="HO232" s="181">
        <f>HP232</f>
        <v>141697.15833999999</v>
      </c>
      <c r="HP232" s="181">
        <f>HP233+HP234</f>
        <v>141697.15833999999</v>
      </c>
      <c r="HQ232" s="181"/>
      <c r="HR232" s="189"/>
      <c r="HS232" s="181">
        <f>HT232</f>
        <v>0</v>
      </c>
      <c r="HT232" s="181">
        <f>HT233+HT234</f>
        <v>0</v>
      </c>
      <c r="HU232" s="181"/>
      <c r="HV232" s="189"/>
      <c r="HW232" s="181">
        <f>HX232</f>
        <v>132291.77691000002</v>
      </c>
      <c r="HX232" s="181">
        <f>HX233+HX234</f>
        <v>132291.77691000002</v>
      </c>
      <c r="HY232" s="181"/>
      <c r="HZ232" s="189"/>
      <c r="IA232" s="181">
        <f>IB232</f>
        <v>132291.77691000002</v>
      </c>
      <c r="IB232" s="181">
        <f>IB233+IB234</f>
        <v>132291.77691000002</v>
      </c>
      <c r="IC232" s="181"/>
      <c r="ID232" s="189"/>
      <c r="IE232" s="200"/>
      <c r="IF232" s="193"/>
      <c r="IG232" s="193"/>
      <c r="IH232" s="193"/>
    </row>
    <row r="233" spans="1:242" s="129" customFormat="1" ht="35.25" hidden="1" customHeight="1" x14ac:dyDescent="0.25">
      <c r="B233" s="178"/>
      <c r="C233" s="174"/>
      <c r="D233" s="258"/>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189"/>
      <c r="AA233" s="189"/>
      <c r="AB233" s="189"/>
      <c r="AC233" s="189"/>
      <c r="AD233" s="189"/>
      <c r="AE233" s="189"/>
      <c r="AF233" s="189"/>
      <c r="AG233" s="189"/>
      <c r="AH233" s="189"/>
      <c r="AI233" s="189"/>
      <c r="AJ233" s="189"/>
      <c r="AK233" s="181"/>
      <c r="AL233" s="181"/>
      <c r="AM233" s="190"/>
      <c r="AN233" s="189"/>
      <c r="AO233" s="181"/>
      <c r="AP233" s="189"/>
      <c r="AQ233" s="189"/>
      <c r="AR233" s="189"/>
      <c r="AS233" s="189"/>
      <c r="AT233" s="189"/>
      <c r="AU233" s="189"/>
      <c r="AV233" s="189"/>
      <c r="AW233" s="189"/>
      <c r="AX233" s="189"/>
      <c r="AY233" s="189"/>
      <c r="AZ233" s="189"/>
      <c r="BA233" s="189"/>
      <c r="BB233" s="189"/>
      <c r="BC233" s="189"/>
      <c r="BD233" s="189"/>
      <c r="BE233" s="189"/>
      <c r="BF233" s="189"/>
      <c r="BG233" s="189"/>
      <c r="BH233" s="189"/>
      <c r="BI233" s="189"/>
      <c r="BJ233" s="189"/>
      <c r="BK233" s="181"/>
      <c r="BL233" s="105"/>
      <c r="BM233" s="105"/>
      <c r="BN233" s="105"/>
      <c r="BO233" s="105"/>
      <c r="BP233" s="105"/>
      <c r="BQ233" s="105"/>
      <c r="BR233" s="105"/>
      <c r="BS233" s="105"/>
      <c r="BT233" s="105"/>
      <c r="BU233" s="105"/>
      <c r="BV233" s="189"/>
      <c r="BW233" s="259"/>
      <c r="BX233" s="259"/>
      <c r="BY233" s="189"/>
      <c r="BZ233" s="189"/>
      <c r="CA233" s="189"/>
      <c r="CB233" s="189"/>
      <c r="CC233" s="259"/>
      <c r="CD233" s="259"/>
      <c r="CE233" s="181"/>
      <c r="CF233" s="105"/>
      <c r="CG233" s="189"/>
      <c r="CH233" s="189"/>
      <c r="CI233" s="189"/>
      <c r="CJ233" s="189"/>
      <c r="CK233" s="189"/>
      <c r="CL233" s="189"/>
      <c r="CM233" s="189"/>
      <c r="CN233" s="181"/>
      <c r="CO233" s="181"/>
      <c r="CP233" s="181"/>
      <c r="CQ233" s="189"/>
      <c r="CR233" s="189"/>
      <c r="CS233" s="189"/>
      <c r="CT233" s="189"/>
      <c r="CU233" s="259"/>
      <c r="CV233" s="259"/>
      <c r="CW233" s="189"/>
      <c r="CX233" s="259"/>
      <c r="CY233" s="259"/>
      <c r="CZ233" s="189"/>
      <c r="DA233" s="189"/>
      <c r="DB233" s="189"/>
      <c r="DC233" s="189"/>
      <c r="DD233" s="189"/>
      <c r="DE233" s="189"/>
      <c r="DF233" s="189"/>
      <c r="DG233" s="259"/>
      <c r="DH233" s="259"/>
      <c r="DI233" s="189"/>
      <c r="DJ233" s="259"/>
      <c r="DK233" s="259"/>
      <c r="DL233" s="189"/>
      <c r="DM233" s="259"/>
      <c r="DN233" s="259"/>
      <c r="DO233" s="189"/>
      <c r="DP233" s="259"/>
      <c r="DQ233" s="259"/>
      <c r="DR233" s="189"/>
      <c r="DS233" s="259"/>
      <c r="DT233" s="259"/>
      <c r="DU233" s="189"/>
      <c r="DV233" s="189"/>
      <c r="DW233" s="189"/>
      <c r="DX233" s="189"/>
      <c r="DY233" s="189"/>
      <c r="DZ233" s="189"/>
      <c r="EA233" s="189"/>
      <c r="EB233" s="189"/>
      <c r="EC233" s="189"/>
      <c r="ED233" s="189"/>
      <c r="EE233" s="189"/>
      <c r="EF233" s="189"/>
      <c r="EG233" s="181"/>
      <c r="EH233" s="181"/>
      <c r="EI233" s="181"/>
      <c r="EJ233" s="189"/>
      <c r="EK233" s="189"/>
      <c r="EL233" s="259"/>
      <c r="EM233" s="259"/>
      <c r="EN233" s="259"/>
      <c r="EO233" s="189"/>
      <c r="EP233" s="259"/>
      <c r="EQ233" s="259"/>
      <c r="ER233" s="259"/>
      <c r="ES233" s="192"/>
      <c r="ET233" s="259"/>
      <c r="EU233" s="259"/>
      <c r="EV233" s="259"/>
      <c r="EW233" s="189"/>
      <c r="EX233" s="189"/>
      <c r="EY233" s="189"/>
      <c r="EZ233" s="189"/>
      <c r="FA233" s="189"/>
      <c r="FB233" s="189"/>
      <c r="FC233" s="163"/>
      <c r="FD233" s="163"/>
      <c r="FE233" s="180"/>
      <c r="FF233" s="188"/>
      <c r="FG233" s="180"/>
      <c r="FH233" s="180"/>
      <c r="FI233" s="352"/>
      <c r="FJ233" s="352"/>
      <c r="FK233" s="188"/>
      <c r="FL233" s="352"/>
      <c r="FM233" s="352"/>
      <c r="FN233" s="352"/>
      <c r="FO233" s="180"/>
      <c r="FP233" s="180"/>
      <c r="FQ233" s="180"/>
      <c r="FR233" s="188"/>
      <c r="FS233" s="163"/>
      <c r="FT233" s="575" t="e">
        <f t="shared" si="506"/>
        <v>#DIV/0!</v>
      </c>
      <c r="FU233" s="163"/>
      <c r="FV233" s="575" t="e">
        <f t="shared" si="507"/>
        <v>#DIV/0!</v>
      </c>
      <c r="FW233" s="189"/>
      <c r="FX233" s="189"/>
      <c r="FY233" s="189"/>
      <c r="FZ233" s="189"/>
      <c r="GA233" s="163"/>
      <c r="GB233" s="575"/>
      <c r="GC233" s="163"/>
      <c r="GD233" s="575"/>
      <c r="GE233" s="188"/>
      <c r="GF233" s="189"/>
      <c r="GG233" s="188"/>
      <c r="GH233" s="189"/>
      <c r="GI233" s="163">
        <f>GK233</f>
        <v>337971.35162999999</v>
      </c>
      <c r="GJ233" s="575" t="e">
        <f t="shared" si="471"/>
        <v>#DIV/0!</v>
      </c>
      <c r="GK233" s="163">
        <v>337971.35162999999</v>
      </c>
      <c r="GL233" s="575" t="e">
        <f t="shared" si="472"/>
        <v>#DIV/0!</v>
      </c>
      <c r="GM233" s="188"/>
      <c r="GN233" s="574"/>
      <c r="GO233" s="188"/>
      <c r="GP233" s="574"/>
      <c r="GQ233" s="189"/>
      <c r="GR233" s="189"/>
      <c r="GS233" s="189"/>
      <c r="GT233" s="189"/>
      <c r="GU233" s="181">
        <f>GV233</f>
        <v>0</v>
      </c>
      <c r="GV233" s="181">
        <v>0</v>
      </c>
      <c r="GW233" s="181"/>
      <c r="GX233" s="189"/>
      <c r="GY233" s="189"/>
      <c r="GZ233" s="189"/>
      <c r="HA233" s="189"/>
      <c r="HB233" s="189"/>
      <c r="HC233" s="189"/>
      <c r="HD233" s="189"/>
      <c r="HE233" s="189"/>
      <c r="HF233" s="189"/>
      <c r="HG233" s="181">
        <f>HH233</f>
        <v>139300</v>
      </c>
      <c r="HH233" s="181">
        <f>HP233-GV233</f>
        <v>139300</v>
      </c>
      <c r="HI233" s="181"/>
      <c r="HJ233" s="189"/>
      <c r="HK233" s="181"/>
      <c r="HL233" s="181"/>
      <c r="HM233" s="181"/>
      <c r="HN233" s="189"/>
      <c r="HO233" s="181">
        <f>HP233</f>
        <v>139300</v>
      </c>
      <c r="HP233" s="181">
        <v>139300</v>
      </c>
      <c r="HQ233" s="181"/>
      <c r="HR233" s="189"/>
      <c r="HS233" s="181">
        <f>HT233</f>
        <v>0</v>
      </c>
      <c r="HT233" s="181">
        <v>0</v>
      </c>
      <c r="HU233" s="181"/>
      <c r="HV233" s="189"/>
      <c r="HW233" s="181">
        <f>HX233</f>
        <v>129801.52468</v>
      </c>
      <c r="HX233" s="181">
        <f>IB233-HT233</f>
        <v>129801.52468</v>
      </c>
      <c r="HY233" s="181"/>
      <c r="HZ233" s="189"/>
      <c r="IA233" s="181">
        <f>IB233</f>
        <v>129801.52468</v>
      </c>
      <c r="IB233" s="181">
        <f>129801.52468</f>
        <v>129801.52468</v>
      </c>
      <c r="IC233" s="181"/>
      <c r="ID233" s="189"/>
      <c r="IE233" s="200"/>
      <c r="IF233" s="193"/>
      <c r="IG233" s="193"/>
      <c r="IH233" s="193"/>
    </row>
    <row r="234" spans="1:242" s="129" customFormat="1" ht="40.5" hidden="1" customHeight="1" x14ac:dyDescent="0.25">
      <c r="B234" s="178"/>
      <c r="C234" s="266"/>
      <c r="D234" s="258"/>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189"/>
      <c r="AA234" s="189"/>
      <c r="AB234" s="189"/>
      <c r="AC234" s="189"/>
      <c r="AD234" s="189"/>
      <c r="AE234" s="189"/>
      <c r="AF234" s="189"/>
      <c r="AG234" s="189"/>
      <c r="AH234" s="189"/>
      <c r="AI234" s="189"/>
      <c r="AJ234" s="189"/>
      <c r="AK234" s="181"/>
      <c r="AL234" s="181"/>
      <c r="AM234" s="190"/>
      <c r="AN234" s="189"/>
      <c r="AO234" s="181"/>
      <c r="AP234" s="189"/>
      <c r="AQ234" s="189"/>
      <c r="AR234" s="189"/>
      <c r="AS234" s="189"/>
      <c r="AT234" s="189"/>
      <c r="AU234" s="189"/>
      <c r="AV234" s="189"/>
      <c r="AW234" s="189"/>
      <c r="AX234" s="189"/>
      <c r="AY234" s="189"/>
      <c r="AZ234" s="189"/>
      <c r="BA234" s="189"/>
      <c r="BB234" s="189"/>
      <c r="BC234" s="189"/>
      <c r="BD234" s="189"/>
      <c r="BE234" s="189"/>
      <c r="BF234" s="189"/>
      <c r="BG234" s="189"/>
      <c r="BH234" s="189"/>
      <c r="BI234" s="189"/>
      <c r="BJ234" s="189"/>
      <c r="BK234" s="181"/>
      <c r="BL234" s="105"/>
      <c r="BM234" s="105"/>
      <c r="BN234" s="105"/>
      <c r="BO234" s="105"/>
      <c r="BP234" s="105"/>
      <c r="BQ234" s="105"/>
      <c r="BR234" s="105"/>
      <c r="BS234" s="105"/>
      <c r="BT234" s="105"/>
      <c r="BU234" s="105"/>
      <c r="BV234" s="189"/>
      <c r="BW234" s="259"/>
      <c r="BX234" s="259"/>
      <c r="BY234" s="189"/>
      <c r="BZ234" s="189"/>
      <c r="CA234" s="189"/>
      <c r="CB234" s="189"/>
      <c r="CC234" s="259"/>
      <c r="CD234" s="259"/>
      <c r="CE234" s="181"/>
      <c r="CF234" s="105"/>
      <c r="CG234" s="189"/>
      <c r="CH234" s="189"/>
      <c r="CI234" s="189"/>
      <c r="CJ234" s="189"/>
      <c r="CK234" s="189"/>
      <c r="CL234" s="189"/>
      <c r="CM234" s="189"/>
      <c r="CN234" s="181"/>
      <c r="CO234" s="181"/>
      <c r="CP234" s="181"/>
      <c r="CQ234" s="189"/>
      <c r="CR234" s="189"/>
      <c r="CS234" s="189"/>
      <c r="CT234" s="189"/>
      <c r="CU234" s="259"/>
      <c r="CV234" s="259"/>
      <c r="CW234" s="189"/>
      <c r="CX234" s="259"/>
      <c r="CY234" s="259"/>
      <c r="CZ234" s="189"/>
      <c r="DA234" s="189"/>
      <c r="DB234" s="189"/>
      <c r="DC234" s="189"/>
      <c r="DD234" s="189"/>
      <c r="DE234" s="189"/>
      <c r="DF234" s="189"/>
      <c r="DG234" s="259"/>
      <c r="DH234" s="259"/>
      <c r="DI234" s="189"/>
      <c r="DJ234" s="259"/>
      <c r="DK234" s="259"/>
      <c r="DL234" s="189"/>
      <c r="DM234" s="259"/>
      <c r="DN234" s="259"/>
      <c r="DO234" s="189"/>
      <c r="DP234" s="259"/>
      <c r="DQ234" s="259"/>
      <c r="DR234" s="189"/>
      <c r="DS234" s="259"/>
      <c r="DT234" s="259"/>
      <c r="DU234" s="189"/>
      <c r="DV234" s="189"/>
      <c r="DW234" s="189"/>
      <c r="DX234" s="189"/>
      <c r="DY234" s="189"/>
      <c r="DZ234" s="189"/>
      <c r="EA234" s="189"/>
      <c r="EB234" s="189"/>
      <c r="EC234" s="189"/>
      <c r="ED234" s="189"/>
      <c r="EE234" s="189"/>
      <c r="EF234" s="189"/>
      <c r="EG234" s="181"/>
      <c r="EH234" s="181"/>
      <c r="EI234" s="181"/>
      <c r="EJ234" s="189"/>
      <c r="EK234" s="189"/>
      <c r="EL234" s="259"/>
      <c r="EM234" s="259"/>
      <c r="EN234" s="259"/>
      <c r="EO234" s="189"/>
      <c r="EP234" s="259"/>
      <c r="EQ234" s="259"/>
      <c r="ER234" s="259"/>
      <c r="ES234" s="192"/>
      <c r="ET234" s="259"/>
      <c r="EU234" s="259"/>
      <c r="EV234" s="259"/>
      <c r="EW234" s="189"/>
      <c r="EX234" s="189"/>
      <c r="EY234" s="189"/>
      <c r="EZ234" s="189"/>
      <c r="FA234" s="189"/>
      <c r="FB234" s="189"/>
      <c r="FC234" s="163"/>
      <c r="FD234" s="163"/>
      <c r="FE234" s="180"/>
      <c r="FF234" s="188"/>
      <c r="FG234" s="180"/>
      <c r="FH234" s="180"/>
      <c r="FI234" s="352"/>
      <c r="FJ234" s="352"/>
      <c r="FK234" s="188"/>
      <c r="FL234" s="352"/>
      <c r="FM234" s="352"/>
      <c r="FN234" s="352"/>
      <c r="FO234" s="180"/>
      <c r="FP234" s="180"/>
      <c r="FQ234" s="180"/>
      <c r="FR234" s="188"/>
      <c r="FS234" s="163"/>
      <c r="FT234" s="575" t="e">
        <f t="shared" si="506"/>
        <v>#DIV/0!</v>
      </c>
      <c r="FU234" s="163"/>
      <c r="FV234" s="575" t="e">
        <f t="shared" si="507"/>
        <v>#DIV/0!</v>
      </c>
      <c r="FW234" s="189"/>
      <c r="FX234" s="189"/>
      <c r="FY234" s="189"/>
      <c r="FZ234" s="189"/>
      <c r="GA234" s="163"/>
      <c r="GB234" s="575"/>
      <c r="GC234" s="163"/>
      <c r="GD234" s="575"/>
      <c r="GE234" s="188"/>
      <c r="GF234" s="189"/>
      <c r="GG234" s="188"/>
      <c r="GH234" s="189"/>
      <c r="GI234" s="163">
        <f>GK234</f>
        <v>11496.14646</v>
      </c>
      <c r="GJ234" s="575" t="e">
        <f t="shared" si="471"/>
        <v>#DIV/0!</v>
      </c>
      <c r="GK234" s="163">
        <v>11496.14646</v>
      </c>
      <c r="GL234" s="575" t="e">
        <f t="shared" si="472"/>
        <v>#DIV/0!</v>
      </c>
      <c r="GM234" s="188"/>
      <c r="GN234" s="574"/>
      <c r="GO234" s="188"/>
      <c r="GP234" s="574"/>
      <c r="GQ234" s="189"/>
      <c r="GR234" s="189"/>
      <c r="GS234" s="189"/>
      <c r="GT234" s="189"/>
      <c r="GU234" s="181">
        <f>GV234</f>
        <v>0</v>
      </c>
      <c r="GV234" s="181">
        <v>0</v>
      </c>
      <c r="GW234" s="181"/>
      <c r="GX234" s="189"/>
      <c r="GY234" s="189"/>
      <c r="GZ234" s="189"/>
      <c r="HA234" s="189"/>
      <c r="HB234" s="189"/>
      <c r="HC234" s="189"/>
      <c r="HD234" s="189"/>
      <c r="HE234" s="189"/>
      <c r="HF234" s="189"/>
      <c r="HG234" s="181">
        <f>HH234</f>
        <v>2397.15834</v>
      </c>
      <c r="HH234" s="181">
        <f>HP234-GV234</f>
        <v>2397.15834</v>
      </c>
      <c r="HI234" s="181"/>
      <c r="HJ234" s="189"/>
      <c r="HK234" s="181"/>
      <c r="HL234" s="181"/>
      <c r="HM234" s="181"/>
      <c r="HN234" s="189"/>
      <c r="HO234" s="181">
        <f>HP234</f>
        <v>2397.15834</v>
      </c>
      <c r="HP234" s="181">
        <v>2397.15834</v>
      </c>
      <c r="HQ234" s="181"/>
      <c r="HR234" s="189"/>
      <c r="HS234" s="181">
        <f>HT234</f>
        <v>0</v>
      </c>
      <c r="HT234" s="181">
        <v>0</v>
      </c>
      <c r="HU234" s="181"/>
      <c r="HV234" s="189"/>
      <c r="HW234" s="181">
        <f>HX234</f>
        <v>2490.2522300000001</v>
      </c>
      <c r="HX234" s="181">
        <f>IB234-HT234</f>
        <v>2490.2522300000001</v>
      </c>
      <c r="HY234" s="181"/>
      <c r="HZ234" s="189"/>
      <c r="IA234" s="181">
        <f>IB234</f>
        <v>2490.2522300000001</v>
      </c>
      <c r="IB234" s="181">
        <v>2490.2522300000001</v>
      </c>
      <c r="IC234" s="181"/>
      <c r="ID234" s="189"/>
      <c r="IE234" s="200"/>
      <c r="IF234" s="193"/>
      <c r="IG234" s="193"/>
      <c r="IH234" s="193"/>
    </row>
    <row r="235" spans="1:242" s="129" customFormat="1" ht="35.25" hidden="1" customHeight="1" x14ac:dyDescent="0.25">
      <c r="B235" s="178"/>
      <c r="C235" s="174"/>
      <c r="D235" s="258"/>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189"/>
      <c r="AA235" s="189"/>
      <c r="AB235" s="189"/>
      <c r="AC235" s="189"/>
      <c r="AD235" s="189"/>
      <c r="AE235" s="189"/>
      <c r="AF235" s="189"/>
      <c r="AG235" s="189"/>
      <c r="AH235" s="189"/>
      <c r="AI235" s="189"/>
      <c r="AJ235" s="189"/>
      <c r="AK235" s="181"/>
      <c r="AL235" s="181"/>
      <c r="AM235" s="190"/>
      <c r="AN235" s="189"/>
      <c r="AO235" s="181"/>
      <c r="AP235" s="189"/>
      <c r="AQ235" s="189"/>
      <c r="AR235" s="189"/>
      <c r="AS235" s="189"/>
      <c r="AT235" s="189"/>
      <c r="AU235" s="189"/>
      <c r="AV235" s="189"/>
      <c r="AW235" s="189"/>
      <c r="AX235" s="189"/>
      <c r="AY235" s="189"/>
      <c r="AZ235" s="189"/>
      <c r="BA235" s="189"/>
      <c r="BB235" s="189"/>
      <c r="BC235" s="189"/>
      <c r="BD235" s="189"/>
      <c r="BE235" s="189"/>
      <c r="BF235" s="189"/>
      <c r="BG235" s="189"/>
      <c r="BH235" s="189"/>
      <c r="BI235" s="189"/>
      <c r="BJ235" s="189"/>
      <c r="BK235" s="181"/>
      <c r="BL235" s="105"/>
      <c r="BM235" s="105"/>
      <c r="BN235" s="105"/>
      <c r="BO235" s="105"/>
      <c r="BP235" s="105"/>
      <c r="BQ235" s="105"/>
      <c r="BR235" s="105"/>
      <c r="BS235" s="105"/>
      <c r="BT235" s="105"/>
      <c r="BU235" s="105"/>
      <c r="BV235" s="189"/>
      <c r="BW235" s="259"/>
      <c r="BX235" s="259"/>
      <c r="BY235" s="189"/>
      <c r="BZ235" s="189"/>
      <c r="CA235" s="189"/>
      <c r="CB235" s="189"/>
      <c r="CC235" s="259"/>
      <c r="CD235" s="259"/>
      <c r="CE235" s="181"/>
      <c r="CF235" s="105"/>
      <c r="CG235" s="189"/>
      <c r="CH235" s="189"/>
      <c r="CI235" s="189"/>
      <c r="CJ235" s="189"/>
      <c r="CK235" s="189"/>
      <c r="CL235" s="189"/>
      <c r="CM235" s="189"/>
      <c r="CN235" s="181"/>
      <c r="CO235" s="181"/>
      <c r="CP235" s="181"/>
      <c r="CQ235" s="189"/>
      <c r="CR235" s="189"/>
      <c r="CS235" s="189"/>
      <c r="CT235" s="189"/>
      <c r="CU235" s="259"/>
      <c r="CV235" s="259"/>
      <c r="CW235" s="189"/>
      <c r="CX235" s="259"/>
      <c r="CY235" s="259"/>
      <c r="CZ235" s="189"/>
      <c r="DA235" s="189"/>
      <c r="DB235" s="189"/>
      <c r="DC235" s="189"/>
      <c r="DD235" s="189"/>
      <c r="DE235" s="189"/>
      <c r="DF235" s="189"/>
      <c r="DG235" s="259"/>
      <c r="DH235" s="259"/>
      <c r="DI235" s="189"/>
      <c r="DJ235" s="259"/>
      <c r="DK235" s="259"/>
      <c r="DL235" s="189"/>
      <c r="DM235" s="259"/>
      <c r="DN235" s="259"/>
      <c r="DO235" s="189"/>
      <c r="DP235" s="259"/>
      <c r="DQ235" s="259"/>
      <c r="DR235" s="189"/>
      <c r="DS235" s="259"/>
      <c r="DT235" s="259"/>
      <c r="DU235" s="189"/>
      <c r="DV235" s="189"/>
      <c r="DW235" s="189"/>
      <c r="DX235" s="189"/>
      <c r="DY235" s="189"/>
      <c r="DZ235" s="189"/>
      <c r="EA235" s="189"/>
      <c r="EB235" s="189"/>
      <c r="EC235" s="189"/>
      <c r="ED235" s="189"/>
      <c r="EE235" s="189"/>
      <c r="EF235" s="189"/>
      <c r="EG235" s="181"/>
      <c r="EH235" s="181"/>
      <c r="EI235" s="181"/>
      <c r="EJ235" s="189"/>
      <c r="EK235" s="189"/>
      <c r="EL235" s="259"/>
      <c r="EM235" s="259"/>
      <c r="EN235" s="259"/>
      <c r="EO235" s="189"/>
      <c r="EP235" s="259"/>
      <c r="EQ235" s="259"/>
      <c r="ER235" s="259"/>
      <c r="ES235" s="192"/>
      <c r="ET235" s="259"/>
      <c r="EU235" s="259"/>
      <c r="EV235" s="259"/>
      <c r="EW235" s="189"/>
      <c r="EX235" s="189"/>
      <c r="EY235" s="189"/>
      <c r="EZ235" s="189"/>
      <c r="FA235" s="189"/>
      <c r="FB235" s="189"/>
      <c r="FC235" s="163"/>
      <c r="FD235" s="163"/>
      <c r="FE235" s="180"/>
      <c r="FF235" s="188"/>
      <c r="FG235" s="188"/>
      <c r="FH235" s="691"/>
      <c r="FI235" s="352"/>
      <c r="FJ235" s="352"/>
      <c r="FK235" s="188"/>
      <c r="FL235" s="352"/>
      <c r="FM235" s="352"/>
      <c r="FN235" s="352"/>
      <c r="FO235" s="180"/>
      <c r="FP235" s="180"/>
      <c r="FQ235" s="180"/>
      <c r="FR235" s="188"/>
      <c r="FS235" s="163"/>
      <c r="FT235" s="575" t="e">
        <f t="shared" si="506"/>
        <v>#DIV/0!</v>
      </c>
      <c r="FU235" s="163"/>
      <c r="FV235" s="575" t="e">
        <f t="shared" si="507"/>
        <v>#DIV/0!</v>
      </c>
      <c r="FW235" s="189"/>
      <c r="FX235" s="189"/>
      <c r="FY235" s="189"/>
      <c r="FZ235" s="189"/>
      <c r="GA235" s="163"/>
      <c r="GB235" s="575"/>
      <c r="GC235" s="163"/>
      <c r="GD235" s="575"/>
      <c r="GE235" s="188"/>
      <c r="GF235" s="189"/>
      <c r="GG235" s="188"/>
      <c r="GH235" s="189"/>
      <c r="GI235" s="163"/>
      <c r="GJ235" s="575" t="e">
        <f t="shared" si="471"/>
        <v>#DIV/0!</v>
      </c>
      <c r="GK235" s="188"/>
      <c r="GL235" s="575" t="e">
        <f t="shared" si="472"/>
        <v>#DIV/0!</v>
      </c>
      <c r="GM235" s="188"/>
      <c r="GN235" s="574"/>
      <c r="GO235" s="188"/>
      <c r="GP235" s="574"/>
      <c r="GQ235" s="189"/>
      <c r="GR235" s="189"/>
      <c r="GS235" s="189"/>
      <c r="GT235" s="189"/>
      <c r="GU235" s="181"/>
      <c r="GV235" s="181"/>
      <c r="GW235" s="181"/>
      <c r="GX235" s="189"/>
      <c r="GY235" s="189"/>
      <c r="GZ235" s="189"/>
      <c r="HA235" s="189"/>
      <c r="HB235" s="189"/>
      <c r="HC235" s="189"/>
      <c r="HD235" s="189"/>
      <c r="HE235" s="189"/>
      <c r="HF235" s="189"/>
      <c r="HG235" s="181"/>
      <c r="HH235" s="181"/>
      <c r="HI235" s="181"/>
      <c r="HJ235" s="189"/>
      <c r="HK235" s="181"/>
      <c r="HL235" s="181"/>
      <c r="HM235" s="181"/>
      <c r="HN235" s="189"/>
      <c r="HO235" s="181"/>
      <c r="HP235" s="181"/>
      <c r="HQ235" s="181"/>
      <c r="HR235" s="189"/>
      <c r="HS235" s="181"/>
      <c r="HT235" s="181"/>
      <c r="HU235" s="181"/>
      <c r="HV235" s="189"/>
      <c r="HW235" s="181"/>
      <c r="HX235" s="181"/>
      <c r="HY235" s="181"/>
      <c r="HZ235" s="189"/>
      <c r="IA235" s="181"/>
      <c r="IB235" s="181"/>
      <c r="IC235" s="181"/>
      <c r="ID235" s="189"/>
      <c r="IE235" s="200"/>
      <c r="IF235" s="193"/>
      <c r="IG235" s="193"/>
      <c r="IH235" s="193"/>
    </row>
    <row r="236" spans="1:242" s="267" customFormat="1" ht="72.75" customHeight="1" x14ac:dyDescent="0.2">
      <c r="B236" s="149" t="s">
        <v>111</v>
      </c>
      <c r="C236" s="107" t="s">
        <v>334</v>
      </c>
      <c r="D236" s="107" t="s">
        <v>335</v>
      </c>
      <c r="E236" s="153">
        <f t="shared" ref="E236:AH236" si="552">E238+E239+E242</f>
        <v>1642746.40555</v>
      </c>
      <c r="F236" s="153">
        <f t="shared" si="552"/>
        <v>1572375.34142</v>
      </c>
      <c r="G236" s="153">
        <f t="shared" si="552"/>
        <v>70371.064129999999</v>
      </c>
      <c r="H236" s="153">
        <f t="shared" si="552"/>
        <v>15933.507459999993</v>
      </c>
      <c r="I236" s="153">
        <f t="shared" si="552"/>
        <v>15933.507459999993</v>
      </c>
      <c r="J236" s="153">
        <f t="shared" si="552"/>
        <v>0</v>
      </c>
      <c r="K236" s="153">
        <f t="shared" si="552"/>
        <v>1658679.91301</v>
      </c>
      <c r="L236" s="153">
        <f t="shared" si="552"/>
        <v>1588308.8488799999</v>
      </c>
      <c r="M236" s="153">
        <f t="shared" si="552"/>
        <v>70371.064129999999</v>
      </c>
      <c r="N236" s="153">
        <f t="shared" si="552"/>
        <v>0</v>
      </c>
      <c r="O236" s="153">
        <f t="shared" si="552"/>
        <v>0</v>
      </c>
      <c r="P236" s="153">
        <f t="shared" si="552"/>
        <v>0</v>
      </c>
      <c r="Q236" s="153">
        <f t="shared" si="552"/>
        <v>1658679.91301</v>
      </c>
      <c r="R236" s="153">
        <f t="shared" si="552"/>
        <v>1588308.8488799999</v>
      </c>
      <c r="S236" s="153">
        <f t="shared" si="552"/>
        <v>70371.064129999999</v>
      </c>
      <c r="T236" s="153">
        <f t="shared" si="552"/>
        <v>2426050.6324999998</v>
      </c>
      <c r="U236" s="153">
        <f t="shared" si="552"/>
        <v>0</v>
      </c>
      <c r="V236" s="153">
        <f t="shared" si="552"/>
        <v>2426050.6324999998</v>
      </c>
      <c r="W236" s="153">
        <f t="shared" si="552"/>
        <v>-1646435.80874</v>
      </c>
      <c r="X236" s="153">
        <f t="shared" si="552"/>
        <v>779614.82376000006</v>
      </c>
      <c r="Y236" s="153">
        <f t="shared" si="552"/>
        <v>-2426050.6324999998</v>
      </c>
      <c r="Z236" s="153">
        <f t="shared" si="552"/>
        <v>779614.82376000006</v>
      </c>
      <c r="AA236" s="153">
        <f t="shared" si="552"/>
        <v>779614.82376000006</v>
      </c>
      <c r="AB236" s="153">
        <f t="shared" si="552"/>
        <v>0</v>
      </c>
      <c r="AC236" s="153">
        <f t="shared" si="552"/>
        <v>0</v>
      </c>
      <c r="AD236" s="153">
        <f t="shared" si="552"/>
        <v>0</v>
      </c>
      <c r="AE236" s="153">
        <f t="shared" si="552"/>
        <v>0</v>
      </c>
      <c r="AF236" s="153" t="e">
        <f t="shared" si="552"/>
        <v>#REF!</v>
      </c>
      <c r="AG236" s="153" t="e">
        <f t="shared" si="552"/>
        <v>#REF!</v>
      </c>
      <c r="AH236" s="153">
        <f t="shared" si="552"/>
        <v>0</v>
      </c>
      <c r="AI236" s="153">
        <v>0</v>
      </c>
      <c r="AJ236" s="153">
        <f>AJ238+AJ239+AJ242</f>
        <v>872185.01601999998</v>
      </c>
      <c r="AK236" s="268">
        <f t="shared" si="526"/>
        <v>-92570.192259999923</v>
      </c>
      <c r="AL236" s="268" t="e">
        <f>AF236-AJ236</f>
        <v>#REF!</v>
      </c>
      <c r="AM236" s="758" t="s">
        <v>336</v>
      </c>
      <c r="AN236" s="269" t="s">
        <v>321</v>
      </c>
      <c r="AO236" s="192">
        <v>1</v>
      </c>
      <c r="AP236" s="154">
        <f>AP238+AP242</f>
        <v>692340.16645999998</v>
      </c>
      <c r="AQ236" s="154">
        <f>AQ238+AQ242</f>
        <v>3203.1203</v>
      </c>
      <c r="AR236" s="154" t="e">
        <f>AR238+AR242</f>
        <v>#REF!</v>
      </c>
      <c r="AS236" s="153">
        <f>AS238+AS239+AS242</f>
        <v>2413209.0999999996</v>
      </c>
      <c r="AT236" s="153">
        <f>AT238+AT239+AT242</f>
        <v>2413209.0999999996</v>
      </c>
      <c r="AU236" s="153">
        <f>AU238+AU239+AU242</f>
        <v>0</v>
      </c>
      <c r="AV236" s="153">
        <f t="shared" si="528"/>
        <v>0</v>
      </c>
      <c r="AW236" s="153">
        <f>AW238+AW242</f>
        <v>0</v>
      </c>
      <c r="AX236" s="153">
        <f>AX238+AX242</f>
        <v>0</v>
      </c>
      <c r="AY236" s="153">
        <f t="shared" ref="AY236:BJ236" si="553">AY238+AY239+AY242</f>
        <v>2413209.0999999996</v>
      </c>
      <c r="AZ236" s="153">
        <f t="shared" si="553"/>
        <v>2413209.0999999996</v>
      </c>
      <c r="BA236" s="153">
        <f t="shared" si="553"/>
        <v>0</v>
      </c>
      <c r="BB236" s="153">
        <f t="shared" si="553"/>
        <v>2413209.1</v>
      </c>
      <c r="BC236" s="153">
        <f t="shared" si="553"/>
        <v>2413209.1</v>
      </c>
      <c r="BD236" s="153">
        <f t="shared" si="553"/>
        <v>0</v>
      </c>
      <c r="BE236" s="153">
        <f t="shared" si="553"/>
        <v>-700961.69599999976</v>
      </c>
      <c r="BF236" s="153">
        <f t="shared" si="553"/>
        <v>-700961.69599999976</v>
      </c>
      <c r="BG236" s="153">
        <f t="shared" si="553"/>
        <v>0</v>
      </c>
      <c r="BH236" s="153">
        <f t="shared" si="553"/>
        <v>1712247.4040000001</v>
      </c>
      <c r="BI236" s="153">
        <f t="shared" si="553"/>
        <v>1712247.4040000001</v>
      </c>
      <c r="BJ236" s="153">
        <f t="shared" si="553"/>
        <v>0</v>
      </c>
      <c r="BK236" s="192">
        <f>BL236/AY236</f>
        <v>0.75</v>
      </c>
      <c r="BL236" s="153">
        <f>AZ236*75/100</f>
        <v>1809906.8249999997</v>
      </c>
      <c r="BM236" s="153">
        <f t="shared" ref="BM236:CD236" si="554">BM238+BM239+BM242</f>
        <v>0</v>
      </c>
      <c r="BN236" s="153">
        <f t="shared" si="554"/>
        <v>0</v>
      </c>
      <c r="BO236" s="153">
        <f t="shared" si="554"/>
        <v>0</v>
      </c>
      <c r="BP236" s="153">
        <f t="shared" si="554"/>
        <v>0</v>
      </c>
      <c r="BQ236" s="153">
        <f t="shared" si="554"/>
        <v>0</v>
      </c>
      <c r="BR236" s="153">
        <f t="shared" si="554"/>
        <v>0</v>
      </c>
      <c r="BS236" s="153">
        <f t="shared" si="554"/>
        <v>1712247.4040000001</v>
      </c>
      <c r="BT236" s="153">
        <f t="shared" si="554"/>
        <v>1712247.4040000001</v>
      </c>
      <c r="BU236" s="153">
        <f t="shared" si="554"/>
        <v>0</v>
      </c>
      <c r="BV236" s="153">
        <f t="shared" si="554"/>
        <v>2413209.1</v>
      </c>
      <c r="BW236" s="153">
        <f t="shared" si="554"/>
        <v>2413209.1</v>
      </c>
      <c r="BX236" s="153">
        <f t="shared" si="554"/>
        <v>0</v>
      </c>
      <c r="BY236" s="153">
        <f t="shared" si="554"/>
        <v>-585301.20000000007</v>
      </c>
      <c r="BZ236" s="153">
        <f t="shared" si="554"/>
        <v>-585301.20000000007</v>
      </c>
      <c r="CA236" s="153">
        <f t="shared" si="554"/>
        <v>0</v>
      </c>
      <c r="CB236" s="153">
        <f t="shared" si="554"/>
        <v>1126946.2039999999</v>
      </c>
      <c r="CC236" s="153">
        <f t="shared" si="554"/>
        <v>1126946.2039999999</v>
      </c>
      <c r="CD236" s="153">
        <f t="shared" si="554"/>
        <v>0</v>
      </c>
      <c r="CE236" s="192">
        <f>CF236/BV236</f>
        <v>0.1800341719248448</v>
      </c>
      <c r="CF236" s="153">
        <f>CF238+CF242</f>
        <v>434460.10200000001</v>
      </c>
      <c r="CG236" s="107"/>
      <c r="CH236" s="153">
        <f>CH238+CH239+CH242</f>
        <v>2793920.2118000002</v>
      </c>
      <c r="CI236" s="153">
        <f>CI238+CI239+CI242</f>
        <v>2793920.2118000002</v>
      </c>
      <c r="CJ236" s="153">
        <f>CJ238+CJ239+CJ242</f>
        <v>0</v>
      </c>
      <c r="CK236" s="153">
        <f t="shared" si="538"/>
        <v>-836239.08000000007</v>
      </c>
      <c r="CL236" s="153">
        <f>CL238+CL242</f>
        <v>-836239.08000000007</v>
      </c>
      <c r="CM236" s="153">
        <f>CM238+CM242</f>
        <v>0</v>
      </c>
      <c r="CN236" s="192">
        <f>CN238+CN263</f>
        <v>0</v>
      </c>
      <c r="CO236" s="192">
        <f>CO238+CO263</f>
        <v>0</v>
      </c>
      <c r="CP236" s="192">
        <f>CP238+CP263</f>
        <v>0</v>
      </c>
      <c r="CQ236" s="153">
        <f t="shared" ref="CQ236:CV236" si="555">CQ238+CQ239+CQ242</f>
        <v>1699655.1318000001</v>
      </c>
      <c r="CR236" s="153">
        <f t="shared" si="555"/>
        <v>1699655.1318000001</v>
      </c>
      <c r="CS236" s="153">
        <f t="shared" si="555"/>
        <v>0</v>
      </c>
      <c r="CT236" s="153">
        <f t="shared" si="555"/>
        <v>330763.46006999991</v>
      </c>
      <c r="CU236" s="153">
        <f t="shared" si="555"/>
        <v>330763.46006999991</v>
      </c>
      <c r="CV236" s="153">
        <f t="shared" si="555"/>
        <v>0</v>
      </c>
      <c r="CW236" s="153" t="e">
        <f>CX236</f>
        <v>#REF!</v>
      </c>
      <c r="CX236" s="153" t="e">
        <f>CX238+#REF!+CX239+CX242</f>
        <v>#REF!</v>
      </c>
      <c r="CY236" s="153">
        <f>CY238+CY239+CY242</f>
        <v>0</v>
      </c>
      <c r="CZ236" s="153">
        <f>CZ238+CZ239+CZ242</f>
        <v>1146408.1902999999</v>
      </c>
      <c r="DA236" s="153">
        <f>DA238+DA239+DA242</f>
        <v>1146408.1902999999</v>
      </c>
      <c r="DB236" s="153">
        <f>DB238+DB239+DB242</f>
        <v>0</v>
      </c>
      <c r="DC236" s="153"/>
      <c r="DD236" s="153"/>
      <c r="DE236" s="153"/>
      <c r="DF236" s="153" t="e">
        <f t="shared" si="549"/>
        <v>#REF!</v>
      </c>
      <c r="DG236" s="153" t="e">
        <f>DG238+#REF!+DG239+DG242</f>
        <v>#REF!</v>
      </c>
      <c r="DH236" s="153">
        <f>DH238+DH239+DH242</f>
        <v>0</v>
      </c>
      <c r="DI236" s="153" t="e">
        <f t="shared" si="550"/>
        <v>#REF!</v>
      </c>
      <c r="DJ236" s="153" t="e">
        <f>DJ238+#REF!+DJ239+DJ242</f>
        <v>#REF!</v>
      </c>
      <c r="DK236" s="153">
        <f t="shared" ref="DK236:DQ236" si="556">DK238+DK239+DK242</f>
        <v>0</v>
      </c>
      <c r="DL236" s="153">
        <f t="shared" si="556"/>
        <v>435711.29340000002</v>
      </c>
      <c r="DM236" s="153">
        <f t="shared" si="556"/>
        <v>435711.29340000002</v>
      </c>
      <c r="DN236" s="153">
        <f t="shared" si="556"/>
        <v>0</v>
      </c>
      <c r="DO236" s="153">
        <f t="shared" si="556"/>
        <v>351917.00646</v>
      </c>
      <c r="DP236" s="153">
        <f t="shared" si="556"/>
        <v>351917.00646</v>
      </c>
      <c r="DQ236" s="153">
        <f t="shared" si="556"/>
        <v>0</v>
      </c>
      <c r="DR236" s="153" t="e">
        <f t="shared" si="551"/>
        <v>#REF!</v>
      </c>
      <c r="DS236" s="153" t="e">
        <f>DS238+#REF!+DS239+DS242</f>
        <v>#REF!</v>
      </c>
      <c r="DT236" s="153">
        <f t="shared" ref="DT236:DZ236" si="557">DT238+DT239+DT242</f>
        <v>0</v>
      </c>
      <c r="DU236" s="153">
        <f t="shared" si="557"/>
        <v>1146408.1902999999</v>
      </c>
      <c r="DV236" s="153">
        <f t="shared" si="557"/>
        <v>1146408.1902999999</v>
      </c>
      <c r="DW236" s="153">
        <f t="shared" si="557"/>
        <v>0</v>
      </c>
      <c r="DX236" s="153">
        <f t="shared" si="557"/>
        <v>1211871.1449500001</v>
      </c>
      <c r="DY236" s="153">
        <f t="shared" si="557"/>
        <v>1211871.1449500001</v>
      </c>
      <c r="DZ236" s="153">
        <f t="shared" si="557"/>
        <v>0</v>
      </c>
      <c r="EA236" s="153"/>
      <c r="EB236" s="153"/>
      <c r="EC236" s="153"/>
      <c r="ED236" s="153" t="e">
        <f t="shared" ref="ED236:ED251" si="558">EE236</f>
        <v>#REF!</v>
      </c>
      <c r="EE236" s="153" t="e">
        <f>EE238+#REF!+EE239+EE242</f>
        <v>#REF!</v>
      </c>
      <c r="EF236" s="153"/>
      <c r="EG236" s="192">
        <f>EH236</f>
        <v>245433.51194999999</v>
      </c>
      <c r="EH236" s="192">
        <f>EH238+EH242</f>
        <v>245433.51194999999</v>
      </c>
      <c r="EI236" s="192"/>
      <c r="EJ236" s="153"/>
      <c r="EK236" s="153">
        <f>EK238+EK239+EK242</f>
        <v>-245433.51194999999</v>
      </c>
      <c r="EL236" s="153">
        <f>EL238+EL239+EL242</f>
        <v>-245433.51194999999</v>
      </c>
      <c r="EM236" s="153"/>
      <c r="EN236" s="153">
        <f>EN238+EN239+EN242</f>
        <v>0</v>
      </c>
      <c r="EO236" s="153">
        <f>EO238+EO239+EO242</f>
        <v>0</v>
      </c>
      <c r="EP236" s="153">
        <f>EP238+EP239+EP242</f>
        <v>0</v>
      </c>
      <c r="EQ236" s="153"/>
      <c r="ER236" s="153">
        <f>ER238+ER239+ER242</f>
        <v>0</v>
      </c>
      <c r="ES236" s="192">
        <f>ET236</f>
        <v>0</v>
      </c>
      <c r="ET236" s="153">
        <f>ET238+ET239+ET242</f>
        <v>0</v>
      </c>
      <c r="EU236" s="153"/>
      <c r="EV236" s="153"/>
      <c r="EW236" s="153">
        <f>EW238+EW239+EW242</f>
        <v>1153321.89995</v>
      </c>
      <c r="EX236" s="153">
        <f>EX238+EX239+EX242</f>
        <v>1153321.89995</v>
      </c>
      <c r="EY236" s="153">
        <f>EY238+EY239+EY242</f>
        <v>0</v>
      </c>
      <c r="EZ236" s="153" t="e">
        <f t="shared" ref="EZ236:EZ251" si="559">FA236</f>
        <v>#REF!</v>
      </c>
      <c r="FA236" s="153" t="e">
        <f>FA238+#REF!+FA239+FA242</f>
        <v>#REF!</v>
      </c>
      <c r="FB236" s="153"/>
      <c r="FC236" s="201">
        <f>FD236</f>
        <v>2236373.8140700003</v>
      </c>
      <c r="FD236" s="152">
        <f>FD237+FD243</f>
        <v>2236373.8140700003</v>
      </c>
      <c r="FE236" s="201"/>
      <c r="FF236" s="152"/>
      <c r="FG236" s="152">
        <f>FG238+FG239+FG242</f>
        <v>-84761.663120000012</v>
      </c>
      <c r="FH236" s="152">
        <f>FH238+FH239+FH242</f>
        <v>-84761.663120000012</v>
      </c>
      <c r="FI236" s="152"/>
      <c r="FJ236" s="152">
        <f>FJ238+FJ239+FJ242</f>
        <v>0</v>
      </c>
      <c r="FK236" s="152">
        <f>FK238+FK239+FK242</f>
        <v>0</v>
      </c>
      <c r="FL236" s="152">
        <f>FL238+FL239+FL242</f>
        <v>0</v>
      </c>
      <c r="FM236" s="152"/>
      <c r="FN236" s="152">
        <f>FN238+FN239+FN242</f>
        <v>0</v>
      </c>
      <c r="FO236" s="201">
        <f>FP236</f>
        <v>301612.15094999998</v>
      </c>
      <c r="FP236" s="201">
        <f>FP238+FP242</f>
        <v>301612.15094999998</v>
      </c>
      <c r="FQ236" s="201"/>
      <c r="FR236" s="152"/>
      <c r="FS236" s="152">
        <f t="shared" ref="FS236:FS251" si="560">FU236</f>
        <v>584888.67316000001</v>
      </c>
      <c r="FT236" s="574">
        <f t="shared" si="506"/>
        <v>0.26153439531450912</v>
      </c>
      <c r="FU236" s="152">
        <f>FU237+FU243</f>
        <v>584888.67316000001</v>
      </c>
      <c r="FV236" s="574">
        <f t="shared" si="507"/>
        <v>0.26153439531450912</v>
      </c>
      <c r="FW236" s="658"/>
      <c r="FX236" s="658"/>
      <c r="FY236" s="658"/>
      <c r="FZ236" s="658"/>
      <c r="GA236" s="152">
        <f>GC236</f>
        <v>582273.37962000002</v>
      </c>
      <c r="GB236" s="574">
        <f>GA236/FC236</f>
        <v>0.26036496043580237</v>
      </c>
      <c r="GC236" s="152">
        <f>GC237+GC243</f>
        <v>582273.37962000002</v>
      </c>
      <c r="GD236" s="574">
        <f>GC236/FD236</f>
        <v>0.26036496043580237</v>
      </c>
      <c r="GE236" s="152"/>
      <c r="GF236" s="308"/>
      <c r="GG236" s="152"/>
      <c r="GH236" s="308"/>
      <c r="GI236" s="152">
        <f t="shared" ref="GI236:GI250" si="561">GK236</f>
        <v>762931.88748999999</v>
      </c>
      <c r="GJ236" s="574">
        <f t="shared" si="471"/>
        <v>0.34114685241352033</v>
      </c>
      <c r="GK236" s="152">
        <f>GK237+GK243</f>
        <v>762931.88748999999</v>
      </c>
      <c r="GL236" s="574">
        <f t="shared" si="472"/>
        <v>0.34114685241352033</v>
      </c>
      <c r="GM236" s="152"/>
      <c r="GN236" s="574"/>
      <c r="GO236" s="152"/>
      <c r="GP236" s="574"/>
      <c r="GQ236" s="308"/>
      <c r="GR236" s="308"/>
      <c r="GS236" s="308"/>
      <c r="GT236" s="308"/>
      <c r="GU236" s="192" t="e">
        <f>GV236</f>
        <v>#REF!</v>
      </c>
      <c r="GV236" s="192" t="e">
        <f>GV238+#REF!+GV239+GV242</f>
        <v>#REF!</v>
      </c>
      <c r="GW236" s="192"/>
      <c r="GX236" s="153"/>
      <c r="GY236" s="153"/>
      <c r="GZ236" s="153"/>
      <c r="HA236" s="153"/>
      <c r="HB236" s="153"/>
      <c r="HC236" s="153"/>
      <c r="HD236" s="153"/>
      <c r="HE236" s="153"/>
      <c r="HF236" s="153"/>
      <c r="HG236" s="192" t="e">
        <f>HH236</f>
        <v>#REF!</v>
      </c>
      <c r="HH236" s="192" t="e">
        <f>HH238+#REF!+HH239+HH242</f>
        <v>#REF!</v>
      </c>
      <c r="HI236" s="192"/>
      <c r="HJ236" s="153"/>
      <c r="HK236" s="192" t="e">
        <f>HL236</f>
        <v>#REF!</v>
      </c>
      <c r="HL236" s="192" t="e">
        <f>HL238+#REF!+HL239+HL242</f>
        <v>#REF!</v>
      </c>
      <c r="HM236" s="192"/>
      <c r="HN236" s="153"/>
      <c r="HO236" s="192" t="e">
        <f>HP236</f>
        <v>#REF!</v>
      </c>
      <c r="HP236" s="192" t="e">
        <f>HP238+#REF!+HP239+HP242</f>
        <v>#REF!</v>
      </c>
      <c r="HQ236" s="192"/>
      <c r="HR236" s="153"/>
      <c r="HS236" s="192" t="e">
        <f>HT236</f>
        <v>#REF!</v>
      </c>
      <c r="HT236" s="192" t="e">
        <f>HT238+#REF!+HT239+HT242</f>
        <v>#REF!</v>
      </c>
      <c r="HU236" s="192"/>
      <c r="HV236" s="153"/>
      <c r="HW236" s="192" t="e">
        <f>HX236</f>
        <v>#REF!</v>
      </c>
      <c r="HX236" s="192" t="e">
        <f>HX238+#REF!+HX239+HX242</f>
        <v>#REF!</v>
      </c>
      <c r="HY236" s="192"/>
      <c r="HZ236" s="153"/>
      <c r="IA236" s="192" t="e">
        <f>IB236</f>
        <v>#REF!</v>
      </c>
      <c r="IB236" s="192" t="e">
        <f>IB238+#REF!+IB239+IB242</f>
        <v>#REF!</v>
      </c>
      <c r="IC236" s="192"/>
      <c r="ID236" s="153"/>
      <c r="IE236" s="198" t="s">
        <v>337</v>
      </c>
      <c r="IF236" s="270"/>
      <c r="IG236" s="270"/>
      <c r="IH236" s="270"/>
    </row>
    <row r="237" spans="1:242" s="184" customFormat="1" ht="46.5" customHeight="1" x14ac:dyDescent="0.25">
      <c r="B237" s="178"/>
      <c r="C237" s="101" t="s">
        <v>131</v>
      </c>
      <c r="D237" s="179"/>
      <c r="E237" s="180"/>
      <c r="F237" s="180"/>
      <c r="G237" s="180"/>
      <c r="H237" s="180"/>
      <c r="I237" s="180"/>
      <c r="J237" s="180"/>
      <c r="K237" s="180"/>
      <c r="L237" s="180"/>
      <c r="M237" s="180"/>
      <c r="N237" s="180"/>
      <c r="O237" s="180"/>
      <c r="P237" s="180"/>
      <c r="Q237" s="181"/>
      <c r="R237" s="181"/>
      <c r="S237" s="181"/>
      <c r="T237" s="181"/>
      <c r="U237" s="181"/>
      <c r="V237" s="181"/>
      <c r="W237" s="181"/>
      <c r="X237" s="181"/>
      <c r="Y237" s="181"/>
      <c r="Z237" s="181"/>
      <c r="AA237" s="181"/>
      <c r="AB237" s="181"/>
      <c r="AC237" s="181"/>
      <c r="AD237" s="181"/>
      <c r="AE237" s="181"/>
      <c r="AF237" s="181"/>
      <c r="AG237" s="181"/>
      <c r="AH237" s="181"/>
      <c r="AI237" s="182"/>
      <c r="AJ237" s="181"/>
      <c r="AK237" s="181"/>
      <c r="AL237" s="181"/>
      <c r="AM237" s="758"/>
      <c r="AN237" s="181"/>
      <c r="AO237" s="109"/>
      <c r="AP237" s="181"/>
      <c r="AQ237" s="181"/>
      <c r="AR237" s="181"/>
      <c r="AS237" s="181"/>
      <c r="AT237" s="181"/>
      <c r="AU237" s="181"/>
      <c r="AV237" s="181"/>
      <c r="AW237" s="181"/>
      <c r="AX237" s="181"/>
      <c r="AY237" s="181"/>
      <c r="AZ237" s="181"/>
      <c r="BA237" s="181"/>
      <c r="BB237" s="181"/>
      <c r="BC237" s="181"/>
      <c r="BD237" s="181"/>
      <c r="BE237" s="181"/>
      <c r="BF237" s="181"/>
      <c r="BG237" s="181"/>
      <c r="BH237" s="181"/>
      <c r="BI237" s="181"/>
      <c r="BJ237" s="181"/>
      <c r="BK237" s="110"/>
      <c r="BL237" s="106"/>
      <c r="BM237" s="106"/>
      <c r="BN237" s="106"/>
      <c r="BO237" s="106"/>
      <c r="BP237" s="106"/>
      <c r="BQ237" s="106"/>
      <c r="BR237" s="106"/>
      <c r="BS237" s="106"/>
      <c r="BT237" s="106"/>
      <c r="BU237" s="106"/>
      <c r="BV237" s="181"/>
      <c r="BW237" s="181"/>
      <c r="BX237" s="181"/>
      <c r="BY237" s="181"/>
      <c r="BZ237" s="181"/>
      <c r="CA237" s="181"/>
      <c r="CB237" s="181"/>
      <c r="CC237" s="181"/>
      <c r="CD237" s="181"/>
      <c r="CE237" s="106"/>
      <c r="CF237" s="106"/>
      <c r="CG237" s="181"/>
      <c r="CH237" s="181"/>
      <c r="CI237" s="181"/>
      <c r="CJ237" s="181"/>
      <c r="CK237" s="181"/>
      <c r="CL237" s="181"/>
      <c r="CM237" s="181"/>
      <c r="CN237" s="181"/>
      <c r="CO237" s="181"/>
      <c r="CP237" s="181"/>
      <c r="CQ237" s="181"/>
      <c r="CR237" s="181"/>
      <c r="CS237" s="181"/>
      <c r="CT237" s="181"/>
      <c r="CU237" s="181"/>
      <c r="CV237" s="181"/>
      <c r="CW237" s="181"/>
      <c r="CX237" s="181"/>
      <c r="CY237" s="181"/>
      <c r="CZ237" s="181"/>
      <c r="DA237" s="181"/>
      <c r="DB237" s="181"/>
      <c r="DC237" s="181"/>
      <c r="DD237" s="181"/>
      <c r="DE237" s="181"/>
      <c r="DF237" s="181"/>
      <c r="DG237" s="181"/>
      <c r="DH237" s="181"/>
      <c r="DI237" s="181"/>
      <c r="DJ237" s="181"/>
      <c r="DK237" s="181"/>
      <c r="DL237" s="181"/>
      <c r="DM237" s="181"/>
      <c r="DN237" s="181"/>
      <c r="DO237" s="181"/>
      <c r="DP237" s="181"/>
      <c r="DQ237" s="181"/>
      <c r="DR237" s="181"/>
      <c r="DS237" s="181"/>
      <c r="DT237" s="181"/>
      <c r="DU237" s="181"/>
      <c r="DV237" s="181"/>
      <c r="DW237" s="181"/>
      <c r="DX237" s="181"/>
      <c r="DY237" s="181"/>
      <c r="DZ237" s="181"/>
      <c r="EA237" s="181"/>
      <c r="EB237" s="181"/>
      <c r="EC237" s="181"/>
      <c r="ED237" s="181"/>
      <c r="EE237" s="181"/>
      <c r="EF237" s="181"/>
      <c r="EG237" s="181">
        <f>EH237</f>
        <v>245433.51194999999</v>
      </c>
      <c r="EH237" s="181">
        <f>EH238+EH239+EH242</f>
        <v>245433.51194999999</v>
      </c>
      <c r="EI237" s="181"/>
      <c r="EJ237" s="181"/>
      <c r="EK237" s="181">
        <f>EL237</f>
        <v>-245433.51194999999</v>
      </c>
      <c r="EL237" s="181">
        <f>SUM(EL238:EL242)</f>
        <v>-245433.51194999999</v>
      </c>
      <c r="EM237" s="181"/>
      <c r="EN237" s="181"/>
      <c r="EO237" s="181"/>
      <c r="EP237" s="181"/>
      <c r="EQ237" s="181"/>
      <c r="ER237" s="181"/>
      <c r="ES237" s="181">
        <f>ET237</f>
        <v>0</v>
      </c>
      <c r="ET237" s="181">
        <f>SUM(ET238:ET242)</f>
        <v>0</v>
      </c>
      <c r="EU237" s="181"/>
      <c r="EV237" s="181"/>
      <c r="EW237" s="181"/>
      <c r="EX237" s="181"/>
      <c r="EY237" s="181"/>
      <c r="EZ237" s="181"/>
      <c r="FA237" s="181"/>
      <c r="FB237" s="181"/>
      <c r="FC237" s="180">
        <f>FD237</f>
        <v>1736373.8140700001</v>
      </c>
      <c r="FD237" s="180">
        <f>SUM(FD238:FD242)</f>
        <v>1736373.8140700001</v>
      </c>
      <c r="FE237" s="180"/>
      <c r="FF237" s="180"/>
      <c r="FG237" s="180">
        <f>FH237</f>
        <v>-84761.663120000012</v>
      </c>
      <c r="FH237" s="104">
        <f>SUM(FH238:FH242)</f>
        <v>-84761.663120000012</v>
      </c>
      <c r="FI237" s="180"/>
      <c r="FJ237" s="180"/>
      <c r="FK237" s="180"/>
      <c r="FL237" s="180"/>
      <c r="FM237" s="180"/>
      <c r="FN237" s="180"/>
      <c r="FO237" s="180">
        <f>FP237</f>
        <v>301612.15094999998</v>
      </c>
      <c r="FP237" s="180">
        <f>FP238+FP239+FP242</f>
        <v>301612.15094999998</v>
      </c>
      <c r="FQ237" s="180"/>
      <c r="FR237" s="180"/>
      <c r="FS237" s="629">
        <f>FU237+FW237+FY237</f>
        <v>132730.98666999998</v>
      </c>
      <c r="FT237" s="595">
        <f t="shared" si="506"/>
        <v>7.6441481433587824E-2</v>
      </c>
      <c r="FU237" s="629">
        <f>SUM(FU238:FU242)</f>
        <v>132730.98666999998</v>
      </c>
      <c r="FV237" s="595">
        <f t="shared" si="507"/>
        <v>7.6441481433587824E-2</v>
      </c>
      <c r="FW237" s="522"/>
      <c r="FX237" s="666"/>
      <c r="FY237" s="522"/>
      <c r="FZ237" s="666"/>
      <c r="GA237" s="629">
        <f>GC237+GE237+GG237</f>
        <v>130115.69312999999</v>
      </c>
      <c r="GB237" s="595">
        <f>GA237/FC237</f>
        <v>7.4935300265219565E-2</v>
      </c>
      <c r="GC237" s="629">
        <f>GC238+GC239+GC242</f>
        <v>130115.69312999999</v>
      </c>
      <c r="GD237" s="595">
        <f>GC237/FD237</f>
        <v>7.4935300265219565E-2</v>
      </c>
      <c r="GE237" s="522"/>
      <c r="GF237" s="514"/>
      <c r="GG237" s="522"/>
      <c r="GH237" s="514"/>
      <c r="GI237" s="629">
        <f>GK237+GM237+GO237</f>
        <v>310774.201</v>
      </c>
      <c r="GJ237" s="595">
        <f t="shared" si="471"/>
        <v>0.17897885724938228</v>
      </c>
      <c r="GK237" s="629">
        <f>SUM(GK238:GK242)</f>
        <v>310774.201</v>
      </c>
      <c r="GL237" s="595">
        <f t="shared" si="472"/>
        <v>0.17897885724938228</v>
      </c>
      <c r="GM237" s="629"/>
      <c r="GN237" s="595"/>
      <c r="GO237" s="629"/>
      <c r="GP237" s="595"/>
      <c r="GQ237" s="181"/>
      <c r="GR237" s="181"/>
      <c r="GS237" s="181"/>
      <c r="GT237" s="181"/>
      <c r="GU237" s="181">
        <f>GV237</f>
        <v>317423.19948000001</v>
      </c>
      <c r="GV237" s="181">
        <f>GV238+GV239+GV242</f>
        <v>317423.19948000001</v>
      </c>
      <c r="GW237" s="181"/>
      <c r="GX237" s="181"/>
      <c r="GY237" s="181"/>
      <c r="GZ237" s="181"/>
      <c r="HA237" s="181"/>
      <c r="HB237" s="181"/>
      <c r="HC237" s="181"/>
      <c r="HD237" s="181"/>
      <c r="HE237" s="181"/>
      <c r="HF237" s="181"/>
      <c r="HG237" s="181">
        <f>HH237</f>
        <v>0</v>
      </c>
      <c r="HH237" s="181">
        <v>0</v>
      </c>
      <c r="HI237" s="181"/>
      <c r="HJ237" s="181"/>
      <c r="HK237" s="181"/>
      <c r="HL237" s="181"/>
      <c r="HM237" s="181"/>
      <c r="HN237" s="181"/>
      <c r="HO237" s="181">
        <f>HP237</f>
        <v>317423.19948000001</v>
      </c>
      <c r="HP237" s="181">
        <f>HP238+HP239+HP242</f>
        <v>317423.19948000001</v>
      </c>
      <c r="HQ237" s="181"/>
      <c r="HR237" s="181"/>
      <c r="HS237" s="181">
        <f>HT237</f>
        <v>240788.01066999999</v>
      </c>
      <c r="HT237" s="181">
        <f>SUM(HT238:HT242)</f>
        <v>240788.01066999999</v>
      </c>
      <c r="HU237" s="181"/>
      <c r="HV237" s="181"/>
      <c r="HW237" s="181"/>
      <c r="HX237" s="181"/>
      <c r="HY237" s="181"/>
      <c r="HZ237" s="181"/>
      <c r="IA237" s="181">
        <f>IB237</f>
        <v>240788.01066999999</v>
      </c>
      <c r="IB237" s="181">
        <f>SUM(IB238:IB242)</f>
        <v>240788.01066999999</v>
      </c>
      <c r="IC237" s="181"/>
      <c r="ID237" s="181"/>
      <c r="IE237" s="169"/>
      <c r="IF237" s="183"/>
      <c r="IG237" s="183"/>
      <c r="IH237" s="183"/>
    </row>
    <row r="238" spans="1:242" s="171" customFormat="1" ht="24.75" hidden="1" customHeight="1" x14ac:dyDescent="0.25">
      <c r="B238" s="160"/>
      <c r="C238" s="174" t="s">
        <v>330</v>
      </c>
      <c r="D238" s="255" t="s">
        <v>324</v>
      </c>
      <c r="E238" s="164">
        <f>F238+G238</f>
        <v>1587746.40555</v>
      </c>
      <c r="F238" s="164">
        <v>1517375.34142</v>
      </c>
      <c r="G238" s="164">
        <v>70371.064129999999</v>
      </c>
      <c r="H238" s="164">
        <f>I238+J238</f>
        <v>15933.507459999993</v>
      </c>
      <c r="I238" s="164">
        <f t="shared" ref="I238:J242" si="562">L238-F238</f>
        <v>15933.507459999993</v>
      </c>
      <c r="J238" s="164">
        <f t="shared" si="562"/>
        <v>0</v>
      </c>
      <c r="K238" s="164">
        <f>L238+M238</f>
        <v>1603679.91301</v>
      </c>
      <c r="L238" s="164">
        <v>1533308.8488799999</v>
      </c>
      <c r="M238" s="164">
        <v>70371.064129999999</v>
      </c>
      <c r="N238" s="164">
        <f>O238+P238</f>
        <v>0</v>
      </c>
      <c r="O238" s="164">
        <f t="shared" ref="O238:P242" si="563">R238-L238</f>
        <v>0</v>
      </c>
      <c r="P238" s="164">
        <f t="shared" si="563"/>
        <v>0</v>
      </c>
      <c r="Q238" s="164">
        <f>R238+S238</f>
        <v>1603679.91301</v>
      </c>
      <c r="R238" s="164">
        <v>1533308.8488799999</v>
      </c>
      <c r="S238" s="164">
        <v>70371.064129999999</v>
      </c>
      <c r="T238" s="164">
        <f>U238+V238</f>
        <v>2371050.6324999998</v>
      </c>
      <c r="U238" s="164">
        <v>0</v>
      </c>
      <c r="V238" s="164">
        <v>2371050.6324999998</v>
      </c>
      <c r="W238" s="164">
        <f>X238+Y238</f>
        <v>-1600218.0767399999</v>
      </c>
      <c r="X238" s="164">
        <f t="shared" ref="X238:Y242" si="564">AA238-U238</f>
        <v>770832.55576000002</v>
      </c>
      <c r="Y238" s="164">
        <f t="shared" si="564"/>
        <v>-2371050.6324999998</v>
      </c>
      <c r="Z238" s="164">
        <f>AA238+AB238</f>
        <v>770832.55576000002</v>
      </c>
      <c r="AA238" s="164">
        <v>770832.55576000002</v>
      </c>
      <c r="AB238" s="164"/>
      <c r="AC238" s="164">
        <f>AD238+AE238</f>
        <v>0</v>
      </c>
      <c r="AD238" s="164">
        <v>0</v>
      </c>
      <c r="AE238" s="164"/>
      <c r="AF238" s="164" t="e">
        <f>AG238+AH238</f>
        <v>#REF!</v>
      </c>
      <c r="AG238" s="164" t="e">
        <f>'[3]2017_с остатком на торги'!$AG$135</f>
        <v>#REF!</v>
      </c>
      <c r="AH238" s="164"/>
      <c r="AI238" s="164"/>
      <c r="AJ238" s="164">
        <v>866627.63382999995</v>
      </c>
      <c r="AK238" s="164">
        <f t="shared" si="526"/>
        <v>-95795.07806999993</v>
      </c>
      <c r="AL238" s="164" t="e">
        <f>AF238-AJ238</f>
        <v>#REF!</v>
      </c>
      <c r="AM238" s="758"/>
      <c r="AN238" s="164"/>
      <c r="AO238" s="164">
        <v>1</v>
      </c>
      <c r="AP238" s="164">
        <v>687394.10190000001</v>
      </c>
      <c r="AQ238" s="164">
        <v>2263.4012400000001</v>
      </c>
      <c r="AR238" s="164" t="e">
        <f>AF238-AP238-AQ238</f>
        <v>#REF!</v>
      </c>
      <c r="AS238" s="164">
        <f>AT238+AU238</f>
        <v>2387144.5099999998</v>
      </c>
      <c r="AT238" s="164">
        <v>2387144.5099999998</v>
      </c>
      <c r="AU238" s="164"/>
      <c r="AV238" s="164">
        <f t="shared" si="528"/>
        <v>0</v>
      </c>
      <c r="AW238" s="164">
        <v>0</v>
      </c>
      <c r="AX238" s="164">
        <v>0</v>
      </c>
      <c r="AY238" s="164">
        <f>AZ238+BA238</f>
        <v>2387144.5099999998</v>
      </c>
      <c r="AZ238" s="164">
        <f>AT238</f>
        <v>2387144.5099999998</v>
      </c>
      <c r="BA238" s="164"/>
      <c r="BB238" s="164">
        <f>BC238+BD238</f>
        <v>2413209.1</v>
      </c>
      <c r="BC238" s="164">
        <f>2400000+13209.1</f>
        <v>2413209.1</v>
      </c>
      <c r="BD238" s="164"/>
      <c r="BE238" s="164">
        <f>BF238</f>
        <v>-700961.69599999976</v>
      </c>
      <c r="BF238" s="164">
        <f>BI238-AZ238</f>
        <v>-700961.69599999976</v>
      </c>
      <c r="BG238" s="164">
        <f>BX238-BD238</f>
        <v>0</v>
      </c>
      <c r="BH238" s="164">
        <f>BI238+BJ238</f>
        <v>1686182.814</v>
      </c>
      <c r="BI238" s="164">
        <v>1686182.814</v>
      </c>
      <c r="BJ238" s="164"/>
      <c r="BK238" s="164">
        <v>0.75</v>
      </c>
      <c r="BL238" s="144">
        <f>AZ238*BK238</f>
        <v>1790358.3824999998</v>
      </c>
      <c r="BM238" s="144"/>
      <c r="BN238" s="144"/>
      <c r="BO238" s="144"/>
      <c r="BP238" s="144">
        <f>BQ238+BR238</f>
        <v>0</v>
      </c>
      <c r="BQ238" s="144">
        <v>0</v>
      </c>
      <c r="BR238" s="144"/>
      <c r="BS238" s="144">
        <f>BT238+BU238</f>
        <v>1686182.814</v>
      </c>
      <c r="BT238" s="144">
        <f>BI238-BN238-BQ238</f>
        <v>1686182.814</v>
      </c>
      <c r="BU238" s="144"/>
      <c r="BV238" s="164">
        <f>BW238+BX238</f>
        <v>2413209.1</v>
      </c>
      <c r="BW238" s="164">
        <f>2400000+13209.1</f>
        <v>2413209.1</v>
      </c>
      <c r="BX238" s="164"/>
      <c r="BY238" s="164">
        <f>BZ238+CA238</f>
        <v>-832085.13936000003</v>
      </c>
      <c r="BZ238" s="164">
        <f>CC238-BI238</f>
        <v>-832085.13936000003</v>
      </c>
      <c r="CA238" s="164">
        <v>0</v>
      </c>
      <c r="CB238" s="164">
        <f>CC238+CD238</f>
        <v>854097.67463999998</v>
      </c>
      <c r="CC238" s="164">
        <v>854097.67463999998</v>
      </c>
      <c r="CD238" s="164"/>
      <c r="CE238" s="164">
        <v>0.5</v>
      </c>
      <c r="CF238" s="144">
        <f>CC238*CE238</f>
        <v>427048.83731999999</v>
      </c>
      <c r="CG238" s="164"/>
      <c r="CH238" s="164">
        <f>CI238+CJ238</f>
        <v>2391855.4205700001</v>
      </c>
      <c r="CI238" s="164">
        <v>2391855.4205700001</v>
      </c>
      <c r="CJ238" s="164"/>
      <c r="CK238" s="164">
        <f t="shared" si="538"/>
        <v>-836239.08000000007</v>
      </c>
      <c r="CL238" s="164">
        <f>CR238-CH238</f>
        <v>-836239.08000000007</v>
      </c>
      <c r="CM238" s="164">
        <v>0</v>
      </c>
      <c r="CN238" s="164">
        <f>CN239+CN264</f>
        <v>0</v>
      </c>
      <c r="CO238" s="164">
        <f>CO239+CO264</f>
        <v>0</v>
      </c>
      <c r="CP238" s="164">
        <f>CP239+CP264</f>
        <v>0</v>
      </c>
      <c r="CQ238" s="164">
        <f>CR238+CS238</f>
        <v>1555616.34057</v>
      </c>
      <c r="CR238" s="164">
        <v>1555616.34057</v>
      </c>
      <c r="CS238" s="164"/>
      <c r="CT238" s="164">
        <f>CU238+CV238</f>
        <v>330763.46006999991</v>
      </c>
      <c r="CU238" s="164">
        <f>CX238-CC238</f>
        <v>330763.46006999991</v>
      </c>
      <c r="CV238" s="164"/>
      <c r="CW238" s="164">
        <f>CX238+CY238</f>
        <v>1184861.1347099999</v>
      </c>
      <c r="CX238" s="164">
        <v>1184861.1347099999</v>
      </c>
      <c r="CY238" s="164"/>
      <c r="CZ238" s="164">
        <f>DA238+DB238</f>
        <v>818902.19030000002</v>
      </c>
      <c r="DA238" s="164">
        <v>818902.19030000002</v>
      </c>
      <c r="DB238" s="164"/>
      <c r="DC238" s="164"/>
      <c r="DD238" s="164"/>
      <c r="DE238" s="164"/>
      <c r="DF238" s="164" t="e">
        <f t="shared" si="549"/>
        <v>#REF!</v>
      </c>
      <c r="DG238" s="164" t="e">
        <f>DJ238-CX238</f>
        <v>#REF!</v>
      </c>
      <c r="DH238" s="164"/>
      <c r="DI238" s="164" t="e">
        <f t="shared" si="550"/>
        <v>#REF!</v>
      </c>
      <c r="DJ238" s="164" t="e">
        <f>823920.204+1417056.4193-1056115.48859+105700+118968.358-#REF!</f>
        <v>#REF!</v>
      </c>
      <c r="DK238" s="164"/>
      <c r="DL238" s="164">
        <f>DM238+DN238</f>
        <v>429318.86543000001</v>
      </c>
      <c r="DM238" s="164">
        <f>377742.63741+51576.22802</f>
        <v>429318.86543000001</v>
      </c>
      <c r="DN238" s="164"/>
      <c r="DO238" s="164">
        <f>DP238+DQ238</f>
        <v>132046.49914</v>
      </c>
      <c r="DP238" s="164">
        <v>132046.49914</v>
      </c>
      <c r="DQ238" s="164"/>
      <c r="DR238" s="164" t="e">
        <f t="shared" si="551"/>
        <v>#REF!</v>
      </c>
      <c r="DS238" s="164" t="e">
        <f>DJ238-DM238-DP238</f>
        <v>#REF!</v>
      </c>
      <c r="DT238" s="164"/>
      <c r="DU238" s="164">
        <f>DV238+DW238</f>
        <v>828902.19030000002</v>
      </c>
      <c r="DV238" s="164">
        <v>828902.19030000002</v>
      </c>
      <c r="DW238" s="164"/>
      <c r="DX238" s="164">
        <f>DY238+DZ238</f>
        <v>866110.14494999999</v>
      </c>
      <c r="DY238" s="164">
        <v>866110.14494999999</v>
      </c>
      <c r="DZ238" s="164"/>
      <c r="EA238" s="164"/>
      <c r="EB238" s="164"/>
      <c r="EC238" s="164"/>
      <c r="ED238" s="164">
        <f t="shared" si="558"/>
        <v>-628468.67835000006</v>
      </c>
      <c r="EE238" s="164">
        <f>EH238-DV238</f>
        <v>-628468.67835000006</v>
      </c>
      <c r="EF238" s="164"/>
      <c r="EG238" s="164">
        <f>EH238</f>
        <v>200433.51194999999</v>
      </c>
      <c r="EH238" s="164">
        <f>199999.99995+433.512</f>
        <v>200433.51194999999</v>
      </c>
      <c r="EI238" s="164"/>
      <c r="EJ238" s="164"/>
      <c r="EK238" s="164">
        <f>EL238+EN238</f>
        <v>-200433.51194999999</v>
      </c>
      <c r="EL238" s="164">
        <f>ET238-EH238</f>
        <v>-200433.51194999999</v>
      </c>
      <c r="EM238" s="164"/>
      <c r="EN238" s="164"/>
      <c r="EO238" s="164">
        <f>EP238+ER238</f>
        <v>0</v>
      </c>
      <c r="EP238" s="164"/>
      <c r="EQ238" s="164"/>
      <c r="ER238" s="164"/>
      <c r="ES238" s="164">
        <f>ET238</f>
        <v>0</v>
      </c>
      <c r="ET238" s="164"/>
      <c r="EU238" s="164"/>
      <c r="EV238" s="164"/>
      <c r="EW238" s="164">
        <f>EX238+EY238</f>
        <v>817560.89994999999</v>
      </c>
      <c r="EX238" s="164">
        <f>876110.14495-58549.245</f>
        <v>817560.89994999999</v>
      </c>
      <c r="EY238" s="164"/>
      <c r="EZ238" s="164">
        <f t="shared" si="559"/>
        <v>-630763.84174000006</v>
      </c>
      <c r="FA238" s="164">
        <f>FD238-EX238</f>
        <v>-630763.84174000006</v>
      </c>
      <c r="FB238" s="164"/>
      <c r="FC238" s="163">
        <f>FD238</f>
        <v>186797.05820999999</v>
      </c>
      <c r="FD238" s="163">
        <v>186797.05820999999</v>
      </c>
      <c r="FE238" s="163"/>
      <c r="FF238" s="163"/>
      <c r="FG238" s="163">
        <f>FH238+FJ238</f>
        <v>65872.726009999984</v>
      </c>
      <c r="FH238" s="163">
        <f>FP238-FD238</f>
        <v>65872.726009999984</v>
      </c>
      <c r="FI238" s="163"/>
      <c r="FJ238" s="163"/>
      <c r="FK238" s="163">
        <f>FL238+FN238</f>
        <v>0</v>
      </c>
      <c r="FL238" s="163"/>
      <c r="FM238" s="163"/>
      <c r="FN238" s="163"/>
      <c r="FO238" s="163">
        <f>FP238</f>
        <v>252669.78421999997</v>
      </c>
      <c r="FP238" s="163">
        <f>FD238+65872.72601</f>
        <v>252669.78421999997</v>
      </c>
      <c r="FQ238" s="163"/>
      <c r="FR238" s="163"/>
      <c r="FS238" s="163">
        <f t="shared" si="560"/>
        <v>47830.346449999997</v>
      </c>
      <c r="FT238" s="575">
        <f t="shared" si="506"/>
        <v>0.25605513763620635</v>
      </c>
      <c r="FU238" s="163">
        <v>47830.346449999997</v>
      </c>
      <c r="FV238" s="575">
        <f t="shared" si="507"/>
        <v>0.25605513763620635</v>
      </c>
      <c r="FW238" s="164"/>
      <c r="FX238" s="164"/>
      <c r="FY238" s="164"/>
      <c r="FZ238" s="164"/>
      <c r="GA238" s="163">
        <f>GC238</f>
        <v>47551.620260000003</v>
      </c>
      <c r="GB238" s="575">
        <f>GA238/FC238</f>
        <v>0.25456300391273706</v>
      </c>
      <c r="GC238" s="163">
        <v>47551.620260000003</v>
      </c>
      <c r="GD238" s="575">
        <f>GC238/FD238</f>
        <v>0.25456300391273706</v>
      </c>
      <c r="GE238" s="163"/>
      <c r="GF238" s="164"/>
      <c r="GG238" s="164"/>
      <c r="GH238" s="164"/>
      <c r="GI238" s="163">
        <f t="shared" si="561"/>
        <v>121350.37261000001</v>
      </c>
      <c r="GJ238" s="575">
        <f t="shared" si="471"/>
        <v>0.64963749307859087</v>
      </c>
      <c r="GK238" s="163">
        <v>121350.37261000001</v>
      </c>
      <c r="GL238" s="575">
        <f t="shared" si="472"/>
        <v>0.64963749307859087</v>
      </c>
      <c r="GM238" s="163"/>
      <c r="GN238" s="574"/>
      <c r="GO238" s="163"/>
      <c r="GP238" s="574"/>
      <c r="GQ238" s="164"/>
      <c r="GR238" s="164"/>
      <c r="GS238" s="164"/>
      <c r="GT238" s="164"/>
      <c r="GU238" s="164">
        <f>GV238</f>
        <v>269739.96760999999</v>
      </c>
      <c r="GV238" s="164">
        <f>289934.92987-20194.96226</f>
        <v>269739.96760999999</v>
      </c>
      <c r="GW238" s="164"/>
      <c r="GX238" s="164"/>
      <c r="GY238" s="164"/>
      <c r="GZ238" s="164"/>
      <c r="HA238" s="164"/>
      <c r="HB238" s="164"/>
      <c r="HC238" s="164"/>
      <c r="HD238" s="164"/>
      <c r="HE238" s="164"/>
      <c r="HF238" s="164"/>
      <c r="HG238" s="164">
        <f>HH238</f>
        <v>0</v>
      </c>
      <c r="HH238" s="164">
        <f>HP238-GV238</f>
        <v>0</v>
      </c>
      <c r="HI238" s="164"/>
      <c r="HJ238" s="164"/>
      <c r="HK238" s="164">
        <f>HL238</f>
        <v>0</v>
      </c>
      <c r="HL238" s="164">
        <f>IF238-GZ238</f>
        <v>0</v>
      </c>
      <c r="HM238" s="164"/>
      <c r="HN238" s="164"/>
      <c r="HO238" s="164">
        <f>HP238</f>
        <v>269739.96760999999</v>
      </c>
      <c r="HP238" s="164">
        <f>GV238</f>
        <v>269739.96760999999</v>
      </c>
      <c r="HQ238" s="164"/>
      <c r="HR238" s="164"/>
      <c r="HS238" s="164">
        <f>HT238</f>
        <v>193104.7788</v>
      </c>
      <c r="HT238" s="164">
        <f>193836.77109-731.99229</f>
        <v>193104.7788</v>
      </c>
      <c r="HU238" s="164"/>
      <c r="HV238" s="164"/>
      <c r="HW238" s="164">
        <f>HX238</f>
        <v>0</v>
      </c>
      <c r="HX238" s="164">
        <f>IR238-HL238</f>
        <v>0</v>
      </c>
      <c r="HY238" s="164"/>
      <c r="HZ238" s="164"/>
      <c r="IA238" s="164">
        <f>IB238</f>
        <v>193104.7788</v>
      </c>
      <c r="IB238" s="164">
        <f>HT238</f>
        <v>193104.7788</v>
      </c>
      <c r="IC238" s="164"/>
      <c r="ID238" s="164"/>
      <c r="IE238" s="200"/>
      <c r="IF238" s="170"/>
      <c r="IG238" s="170"/>
      <c r="IH238" s="170"/>
    </row>
    <row r="239" spans="1:242" s="171" customFormat="1" ht="52.5" hidden="1" customHeight="1" x14ac:dyDescent="0.25">
      <c r="B239" s="178"/>
      <c r="C239" s="174" t="s">
        <v>338</v>
      </c>
      <c r="D239" s="273"/>
      <c r="E239" s="164">
        <f>F239+G239</f>
        <v>0</v>
      </c>
      <c r="F239" s="164"/>
      <c r="G239" s="164"/>
      <c r="H239" s="164">
        <f>I239+J239</f>
        <v>0</v>
      </c>
      <c r="I239" s="164">
        <f t="shared" si="562"/>
        <v>0</v>
      </c>
      <c r="J239" s="164">
        <f t="shared" si="562"/>
        <v>0</v>
      </c>
      <c r="K239" s="164">
        <f>L239+M239</f>
        <v>0</v>
      </c>
      <c r="L239" s="164"/>
      <c r="M239" s="164"/>
      <c r="N239" s="164">
        <f>O239+P239</f>
        <v>0</v>
      </c>
      <c r="O239" s="164">
        <f t="shared" si="563"/>
        <v>0</v>
      </c>
      <c r="P239" s="164">
        <f t="shared" si="563"/>
        <v>0</v>
      </c>
      <c r="Q239" s="164">
        <f>R239+S239</f>
        <v>0</v>
      </c>
      <c r="R239" s="164"/>
      <c r="S239" s="164"/>
      <c r="T239" s="164">
        <f>U239+V239</f>
        <v>0</v>
      </c>
      <c r="U239" s="164"/>
      <c r="V239" s="164"/>
      <c r="W239" s="164">
        <f>X239+Y239</f>
        <v>0</v>
      </c>
      <c r="X239" s="164">
        <f t="shared" si="564"/>
        <v>0</v>
      </c>
      <c r="Y239" s="164">
        <f t="shared" si="564"/>
        <v>0</v>
      </c>
      <c r="Z239" s="164">
        <f>AA239+AB239</f>
        <v>0</v>
      </c>
      <c r="AA239" s="164"/>
      <c r="AB239" s="164"/>
      <c r="AC239" s="164">
        <f>AD239+AE239</f>
        <v>0</v>
      </c>
      <c r="AD239" s="164"/>
      <c r="AE239" s="164"/>
      <c r="AF239" s="164">
        <f>AG239+AH239</f>
        <v>0</v>
      </c>
      <c r="AG239" s="164"/>
      <c r="AH239" s="164"/>
      <c r="AI239" s="164"/>
      <c r="AJ239" s="164"/>
      <c r="AK239" s="164">
        <f>Z239-AJ239</f>
        <v>0</v>
      </c>
      <c r="AL239" s="164">
        <f>AA239-AK239</f>
        <v>0</v>
      </c>
      <c r="AM239" s="758"/>
      <c r="AN239" s="164"/>
      <c r="AO239" s="181">
        <v>1</v>
      </c>
      <c r="AP239" s="164"/>
      <c r="AQ239" s="164"/>
      <c r="AR239" s="164">
        <f>AF239-AP239-AQ239</f>
        <v>0</v>
      </c>
      <c r="AS239" s="164">
        <f>AT239+AU239</f>
        <v>0</v>
      </c>
      <c r="AT239" s="164">
        <f>AJ239</f>
        <v>0</v>
      </c>
      <c r="AU239" s="164"/>
      <c r="AV239" s="164">
        <f>AW239+AX239</f>
        <v>0</v>
      </c>
      <c r="AW239" s="164">
        <v>0</v>
      </c>
      <c r="AX239" s="164">
        <v>0</v>
      </c>
      <c r="AY239" s="164">
        <f>AZ239+BA239</f>
        <v>0</v>
      </c>
      <c r="AZ239" s="164">
        <f>AT239+AW239</f>
        <v>0</v>
      </c>
      <c r="BA239" s="164"/>
      <c r="BB239" s="164">
        <f>BC239+BD239</f>
        <v>0</v>
      </c>
      <c r="BC239" s="164"/>
      <c r="BD239" s="164"/>
      <c r="BE239" s="164">
        <f>BF239+BG239</f>
        <v>0</v>
      </c>
      <c r="BF239" s="164">
        <f>BW239-BC239</f>
        <v>0</v>
      </c>
      <c r="BG239" s="164">
        <f>BX239-BD239</f>
        <v>0</v>
      </c>
      <c r="BH239" s="164">
        <f>BI239+BJ239</f>
        <v>0</v>
      </c>
      <c r="BI239" s="164">
        <f>BC239+BF239</f>
        <v>0</v>
      </c>
      <c r="BJ239" s="164"/>
      <c r="BK239" s="181">
        <v>1</v>
      </c>
      <c r="BL239" s="105">
        <f>AZ239*BK239</f>
        <v>0</v>
      </c>
      <c r="BM239" s="105"/>
      <c r="BN239" s="105"/>
      <c r="BO239" s="105"/>
      <c r="BP239" s="105"/>
      <c r="BQ239" s="105"/>
      <c r="BR239" s="105"/>
      <c r="BS239" s="105"/>
      <c r="BT239" s="105">
        <f>AZ239-BQ239</f>
        <v>0</v>
      </c>
      <c r="BU239" s="105"/>
      <c r="BV239" s="164">
        <f>BW239+BX239</f>
        <v>0</v>
      </c>
      <c r="BW239" s="164"/>
      <c r="BX239" s="164"/>
      <c r="BY239" s="164">
        <f>BZ239+CA239</f>
        <v>258026</v>
      </c>
      <c r="BZ239" s="164">
        <f>CC239-BI239</f>
        <v>258026</v>
      </c>
      <c r="CA239" s="164">
        <v>0</v>
      </c>
      <c r="CB239" s="164">
        <f>CC239+CD239</f>
        <v>258026</v>
      </c>
      <c r="CC239" s="164">
        <v>258026</v>
      </c>
      <c r="CD239" s="164"/>
      <c r="CE239" s="181">
        <v>1</v>
      </c>
      <c r="CF239" s="105">
        <f>CC239*CE239</f>
        <v>258026</v>
      </c>
      <c r="CG239" s="164"/>
      <c r="CH239" s="164">
        <f>CI239+CJ239</f>
        <v>258026</v>
      </c>
      <c r="CI239" s="164">
        <f>BY239</f>
        <v>258026</v>
      </c>
      <c r="CJ239" s="164"/>
      <c r="CK239" s="164">
        <f>CL239+CM239</f>
        <v>0</v>
      </c>
      <c r="CL239" s="164">
        <v>0</v>
      </c>
      <c r="CM239" s="164">
        <v>0</v>
      </c>
      <c r="CN239" s="181">
        <f>CN242+CN265</f>
        <v>0</v>
      </c>
      <c r="CO239" s="181">
        <f>CO242+CO265</f>
        <v>0</v>
      </c>
      <c r="CP239" s="181">
        <f>CP242+CP265</f>
        <v>0</v>
      </c>
      <c r="CQ239" s="164">
        <f>CR239+CS239</f>
        <v>0</v>
      </c>
      <c r="CR239" s="164">
        <v>0</v>
      </c>
      <c r="CS239" s="164"/>
      <c r="CT239" s="164">
        <f>CU239+CV239</f>
        <v>0</v>
      </c>
      <c r="CU239" s="164">
        <v>0</v>
      </c>
      <c r="CV239" s="164"/>
      <c r="CW239" s="164">
        <f>CX239+CY239</f>
        <v>258026</v>
      </c>
      <c r="CX239" s="164">
        <v>258026</v>
      </c>
      <c r="CY239" s="164"/>
      <c r="CZ239" s="164">
        <f>DA239+DB239</f>
        <v>272506</v>
      </c>
      <c r="DA239" s="164">
        <v>272506</v>
      </c>
      <c r="DB239" s="164"/>
      <c r="DC239" s="164"/>
      <c r="DD239" s="164"/>
      <c r="DE239" s="164"/>
      <c r="DF239" s="164">
        <f t="shared" si="549"/>
        <v>0</v>
      </c>
      <c r="DG239" s="164">
        <f>DJ239-CX239</f>
        <v>0</v>
      </c>
      <c r="DH239" s="164"/>
      <c r="DI239" s="164">
        <f t="shared" si="550"/>
        <v>258026</v>
      </c>
      <c r="DJ239" s="164">
        <v>258026</v>
      </c>
      <c r="DK239" s="164"/>
      <c r="DL239" s="164">
        <f>DM239+DN239</f>
        <v>0</v>
      </c>
      <c r="DM239" s="164">
        <v>0</v>
      </c>
      <c r="DN239" s="164"/>
      <c r="DO239" s="164">
        <f>DP239+DQ239</f>
        <v>200437.8989</v>
      </c>
      <c r="DP239" s="164">
        <v>200437.8989</v>
      </c>
      <c r="DQ239" s="164"/>
      <c r="DR239" s="164">
        <f t="shared" si="551"/>
        <v>57588.1011</v>
      </c>
      <c r="DS239" s="164">
        <f>DJ239-DM239-DP239</f>
        <v>57588.1011</v>
      </c>
      <c r="DT239" s="164"/>
      <c r="DU239" s="164">
        <f>DV239+DW239</f>
        <v>272506</v>
      </c>
      <c r="DV239" s="164">
        <f>DA239</f>
        <v>272506</v>
      </c>
      <c r="DW239" s="164"/>
      <c r="DX239" s="164">
        <f>DY239+DZ239</f>
        <v>290761</v>
      </c>
      <c r="DY239" s="164">
        <v>290761</v>
      </c>
      <c r="DZ239" s="164"/>
      <c r="EA239" s="164"/>
      <c r="EB239" s="164"/>
      <c r="EC239" s="164"/>
      <c r="ED239" s="164">
        <f t="shared" si="558"/>
        <v>-272506</v>
      </c>
      <c r="EE239" s="164">
        <f>EH239-DV239</f>
        <v>-272506</v>
      </c>
      <c r="EF239" s="164"/>
      <c r="EG239" s="181">
        <f>EH239</f>
        <v>0</v>
      </c>
      <c r="EH239" s="164">
        <v>0</v>
      </c>
      <c r="EI239" s="181"/>
      <c r="EJ239" s="164"/>
      <c r="EK239" s="164">
        <f>EL239+EN239</f>
        <v>0</v>
      </c>
      <c r="EL239" s="164"/>
      <c r="EM239" s="164"/>
      <c r="EN239" s="164"/>
      <c r="EO239" s="164">
        <f>EP239+ER239</f>
        <v>0</v>
      </c>
      <c r="EP239" s="164"/>
      <c r="EQ239" s="164"/>
      <c r="ER239" s="164"/>
      <c r="ES239" s="181">
        <f>ET239</f>
        <v>0</v>
      </c>
      <c r="ET239" s="164"/>
      <c r="EU239" s="164"/>
      <c r="EV239" s="164"/>
      <c r="EW239" s="164">
        <f>EX239+EY239</f>
        <v>290761</v>
      </c>
      <c r="EX239" s="181">
        <v>290761</v>
      </c>
      <c r="EY239" s="164"/>
      <c r="EZ239" s="164">
        <f t="shared" si="559"/>
        <v>-129059.03476000001</v>
      </c>
      <c r="FA239" s="164">
        <f>FD239-EX239</f>
        <v>-129059.03476000001</v>
      </c>
      <c r="FB239" s="164"/>
      <c r="FC239" s="163">
        <f t="shared" ref="FC239:FC251" si="565">FD239</f>
        <v>161701.96523999999</v>
      </c>
      <c r="FD239" s="163">
        <v>161701.96523999999</v>
      </c>
      <c r="FE239" s="180"/>
      <c r="FF239" s="163"/>
      <c r="FG239" s="163">
        <f>FH239+FJ239</f>
        <v>-161701.96523999999</v>
      </c>
      <c r="FH239" s="163">
        <f>FP239-FD239</f>
        <v>-161701.96523999999</v>
      </c>
      <c r="FI239" s="163"/>
      <c r="FJ239" s="163"/>
      <c r="FK239" s="163">
        <f>FL239+FN239</f>
        <v>0</v>
      </c>
      <c r="FL239" s="163"/>
      <c r="FM239" s="163"/>
      <c r="FN239" s="163"/>
      <c r="FO239" s="180">
        <f t="shared" ref="FO239:FO251" si="566">FP239</f>
        <v>0</v>
      </c>
      <c r="FP239" s="163">
        <f>EH239</f>
        <v>0</v>
      </c>
      <c r="FQ239" s="180"/>
      <c r="FR239" s="163"/>
      <c r="FS239" s="163">
        <f t="shared" si="560"/>
        <v>66394.081609999994</v>
      </c>
      <c r="FT239" s="575">
        <f t="shared" si="506"/>
        <v>0.41059539079476925</v>
      </c>
      <c r="FU239" s="163">
        <v>66394.081609999994</v>
      </c>
      <c r="FV239" s="575">
        <f t="shared" si="507"/>
        <v>0.41059539079476925</v>
      </c>
      <c r="FW239" s="164"/>
      <c r="FX239" s="164"/>
      <c r="FY239" s="164"/>
      <c r="FZ239" s="164"/>
      <c r="GA239" s="163">
        <f t="shared" ref="GA239:GA251" si="567">GC239</f>
        <v>66394.081609999994</v>
      </c>
      <c r="GB239" s="575">
        <f t="shared" ref="GB239:GB251" si="568">GA239/FC239</f>
        <v>0.41059539079476925</v>
      </c>
      <c r="GC239" s="163">
        <v>66394.081609999994</v>
      </c>
      <c r="GD239" s="575">
        <f t="shared" ref="GD239:GD251" si="569">GC239/FD239</f>
        <v>0.41059539079476925</v>
      </c>
      <c r="GE239" s="163"/>
      <c r="GF239" s="164"/>
      <c r="GG239" s="164"/>
      <c r="GH239" s="164"/>
      <c r="GI239" s="163">
        <f t="shared" si="561"/>
        <v>158235.45681999999</v>
      </c>
      <c r="GJ239" s="575">
        <f t="shared" si="471"/>
        <v>0.97856236060671886</v>
      </c>
      <c r="GK239" s="163">
        <v>158235.45681999999</v>
      </c>
      <c r="GL239" s="575">
        <f t="shared" si="472"/>
        <v>0.97856236060671886</v>
      </c>
      <c r="GM239" s="163"/>
      <c r="GN239" s="575"/>
      <c r="GO239" s="163"/>
      <c r="GP239" s="575"/>
      <c r="GQ239" s="164"/>
      <c r="GR239" s="164"/>
      <c r="GS239" s="164"/>
      <c r="GT239" s="164"/>
      <c r="GU239" s="181">
        <f t="shared" ref="GU239:GU251" si="570">GV239</f>
        <v>0</v>
      </c>
      <c r="GV239" s="181">
        <v>0</v>
      </c>
      <c r="GW239" s="181"/>
      <c r="GX239" s="164"/>
      <c r="GY239" s="164"/>
      <c r="GZ239" s="164"/>
      <c r="HA239" s="164"/>
      <c r="HB239" s="164"/>
      <c r="HC239" s="164"/>
      <c r="HD239" s="164"/>
      <c r="HE239" s="164"/>
      <c r="HF239" s="164"/>
      <c r="HG239" s="181">
        <f t="shared" ref="HG239:HG251" si="571">HH239</f>
        <v>0</v>
      </c>
      <c r="HH239" s="164">
        <f>HP239-GV239</f>
        <v>0</v>
      </c>
      <c r="HI239" s="181"/>
      <c r="HJ239" s="164"/>
      <c r="HK239" s="181">
        <f t="shared" ref="HK239:HK251" si="572">HL239</f>
        <v>0</v>
      </c>
      <c r="HL239" s="164">
        <f>IF239-GZ239</f>
        <v>0</v>
      </c>
      <c r="HM239" s="181"/>
      <c r="HN239" s="164"/>
      <c r="HO239" s="181">
        <f t="shared" ref="HO239:HO251" si="573">HP239</f>
        <v>0</v>
      </c>
      <c r="HP239" s="164">
        <f>GV239</f>
        <v>0</v>
      </c>
      <c r="HQ239" s="181"/>
      <c r="HR239" s="164"/>
      <c r="HS239" s="181">
        <f t="shared" ref="HS239:HS251" si="574">HT239</f>
        <v>0</v>
      </c>
      <c r="HT239" s="164">
        <f>HP239</f>
        <v>0</v>
      </c>
      <c r="HU239" s="181"/>
      <c r="HV239" s="164"/>
      <c r="HW239" s="181">
        <f t="shared" ref="HW239:HW251" si="575">HX239</f>
        <v>0</v>
      </c>
      <c r="HX239" s="164">
        <f>IR239-HL239</f>
        <v>0</v>
      </c>
      <c r="HY239" s="181"/>
      <c r="HZ239" s="164"/>
      <c r="IA239" s="181">
        <f t="shared" ref="IA239:IA251" si="576">IB239</f>
        <v>0</v>
      </c>
      <c r="IB239" s="164">
        <f>HT239</f>
        <v>0</v>
      </c>
      <c r="IC239" s="181"/>
      <c r="ID239" s="164"/>
      <c r="IE239" s="200"/>
      <c r="IF239" s="170"/>
      <c r="IG239" s="170"/>
      <c r="IH239" s="170"/>
    </row>
    <row r="240" spans="1:242" s="171" customFormat="1" ht="52.5" hidden="1" customHeight="1" x14ac:dyDescent="0.25">
      <c r="B240" s="178"/>
      <c r="C240" s="174" t="s">
        <v>518</v>
      </c>
      <c r="D240" s="273"/>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c r="AK240" s="164"/>
      <c r="AL240" s="164"/>
      <c r="AM240" s="758"/>
      <c r="AN240" s="164"/>
      <c r="AO240" s="181"/>
      <c r="AP240" s="164"/>
      <c r="AQ240" s="164"/>
      <c r="AR240" s="164"/>
      <c r="AS240" s="164"/>
      <c r="AT240" s="164"/>
      <c r="AU240" s="164"/>
      <c r="AV240" s="164"/>
      <c r="AW240" s="164"/>
      <c r="AX240" s="164"/>
      <c r="AY240" s="164"/>
      <c r="AZ240" s="164"/>
      <c r="BA240" s="164"/>
      <c r="BB240" s="164"/>
      <c r="BC240" s="164"/>
      <c r="BD240" s="164"/>
      <c r="BE240" s="164"/>
      <c r="BF240" s="164"/>
      <c r="BG240" s="164"/>
      <c r="BH240" s="164"/>
      <c r="BI240" s="164"/>
      <c r="BJ240" s="164"/>
      <c r="BK240" s="181"/>
      <c r="BL240" s="105"/>
      <c r="BM240" s="105"/>
      <c r="BN240" s="105"/>
      <c r="BO240" s="105"/>
      <c r="BP240" s="105"/>
      <c r="BQ240" s="105"/>
      <c r="BR240" s="105"/>
      <c r="BS240" s="105"/>
      <c r="BT240" s="105"/>
      <c r="BU240" s="105"/>
      <c r="BV240" s="164"/>
      <c r="BW240" s="164"/>
      <c r="BX240" s="164"/>
      <c r="BY240" s="164"/>
      <c r="BZ240" s="164"/>
      <c r="CA240" s="164"/>
      <c r="CB240" s="164"/>
      <c r="CC240" s="164"/>
      <c r="CD240" s="164"/>
      <c r="CE240" s="181"/>
      <c r="CF240" s="105"/>
      <c r="CG240" s="164"/>
      <c r="CH240" s="164"/>
      <c r="CI240" s="164"/>
      <c r="CJ240" s="164"/>
      <c r="CK240" s="164"/>
      <c r="CL240" s="164"/>
      <c r="CM240" s="164"/>
      <c r="CN240" s="181"/>
      <c r="CO240" s="181"/>
      <c r="CP240" s="181"/>
      <c r="CQ240" s="164"/>
      <c r="CR240" s="164"/>
      <c r="CS240" s="164"/>
      <c r="CT240" s="164"/>
      <c r="CU240" s="164"/>
      <c r="CV240" s="164"/>
      <c r="CW240" s="164"/>
      <c r="CX240" s="164"/>
      <c r="CY240" s="164"/>
      <c r="CZ240" s="164"/>
      <c r="DA240" s="164"/>
      <c r="DB240" s="164"/>
      <c r="DC240" s="164"/>
      <c r="DD240" s="164"/>
      <c r="DE240" s="164"/>
      <c r="DF240" s="164"/>
      <c r="DG240" s="164"/>
      <c r="DH240" s="164"/>
      <c r="DI240" s="164"/>
      <c r="DJ240" s="164"/>
      <c r="DK240" s="164"/>
      <c r="DL240" s="164"/>
      <c r="DM240" s="164"/>
      <c r="DN240" s="164"/>
      <c r="DO240" s="164"/>
      <c r="DP240" s="164"/>
      <c r="DQ240" s="164"/>
      <c r="DR240" s="164"/>
      <c r="DS240" s="164"/>
      <c r="DT240" s="164"/>
      <c r="DU240" s="164"/>
      <c r="DV240" s="164"/>
      <c r="DW240" s="164"/>
      <c r="DX240" s="164"/>
      <c r="DY240" s="164"/>
      <c r="DZ240" s="164"/>
      <c r="EA240" s="164"/>
      <c r="EB240" s="164"/>
      <c r="EC240" s="164"/>
      <c r="ED240" s="164"/>
      <c r="EE240" s="164"/>
      <c r="EF240" s="164"/>
      <c r="EG240" s="181"/>
      <c r="EH240" s="164"/>
      <c r="EI240" s="181"/>
      <c r="EJ240" s="164"/>
      <c r="EK240" s="164"/>
      <c r="EL240" s="164"/>
      <c r="EM240" s="164"/>
      <c r="EN240" s="164"/>
      <c r="EO240" s="164"/>
      <c r="EP240" s="164"/>
      <c r="EQ240" s="164"/>
      <c r="ER240" s="164"/>
      <c r="ES240" s="181"/>
      <c r="ET240" s="164"/>
      <c r="EU240" s="164"/>
      <c r="EV240" s="164"/>
      <c r="EW240" s="164"/>
      <c r="EX240" s="181"/>
      <c r="EY240" s="164"/>
      <c r="EZ240" s="164"/>
      <c r="FA240" s="164"/>
      <c r="FB240" s="164"/>
      <c r="FC240" s="163">
        <f t="shared" si="565"/>
        <v>1000000</v>
      </c>
      <c r="FD240" s="163">
        <v>1000000</v>
      </c>
      <c r="FE240" s="180"/>
      <c r="FF240" s="163"/>
      <c r="FG240" s="163"/>
      <c r="FH240" s="163"/>
      <c r="FI240" s="163"/>
      <c r="FJ240" s="163"/>
      <c r="FK240" s="163"/>
      <c r="FL240" s="163"/>
      <c r="FM240" s="163"/>
      <c r="FN240" s="163"/>
      <c r="FO240" s="180"/>
      <c r="FP240" s="163"/>
      <c r="FQ240" s="180"/>
      <c r="FR240" s="163"/>
      <c r="FS240" s="163"/>
      <c r="FT240" s="575">
        <f t="shared" si="506"/>
        <v>0</v>
      </c>
      <c r="FU240" s="163"/>
      <c r="FV240" s="575">
        <f t="shared" si="507"/>
        <v>0</v>
      </c>
      <c r="FW240" s="164"/>
      <c r="FX240" s="164"/>
      <c r="FY240" s="164"/>
      <c r="FZ240" s="164"/>
      <c r="GA240" s="163">
        <f t="shared" si="567"/>
        <v>0</v>
      </c>
      <c r="GB240" s="575">
        <f t="shared" si="568"/>
        <v>0</v>
      </c>
      <c r="GC240" s="163"/>
      <c r="GD240" s="575">
        <f t="shared" si="569"/>
        <v>0</v>
      </c>
      <c r="GE240" s="163"/>
      <c r="GF240" s="164"/>
      <c r="GG240" s="164"/>
      <c r="GH240" s="164"/>
      <c r="GI240" s="163">
        <f>GK240</f>
        <v>0</v>
      </c>
      <c r="GJ240" s="575">
        <f t="shared" si="471"/>
        <v>0</v>
      </c>
      <c r="GK240" s="163">
        <v>0</v>
      </c>
      <c r="GL240" s="575">
        <f t="shared" si="472"/>
        <v>0</v>
      </c>
      <c r="GM240" s="163"/>
      <c r="GN240" s="575"/>
      <c r="GO240" s="163"/>
      <c r="GP240" s="575"/>
      <c r="GQ240" s="164"/>
      <c r="GR240" s="164"/>
      <c r="GS240" s="164"/>
      <c r="GT240" s="164"/>
      <c r="GU240" s="181"/>
      <c r="GV240" s="181"/>
      <c r="GW240" s="181"/>
      <c r="GX240" s="164"/>
      <c r="GY240" s="164"/>
      <c r="GZ240" s="164"/>
      <c r="HA240" s="164"/>
      <c r="HB240" s="164"/>
      <c r="HC240" s="164"/>
      <c r="HD240" s="164"/>
      <c r="HE240" s="164"/>
      <c r="HF240" s="164"/>
      <c r="HG240" s="181"/>
      <c r="HH240" s="164"/>
      <c r="HI240" s="181"/>
      <c r="HJ240" s="164"/>
      <c r="HK240" s="181"/>
      <c r="HL240" s="164"/>
      <c r="HM240" s="181"/>
      <c r="HN240" s="164"/>
      <c r="HO240" s="181"/>
      <c r="HP240" s="164"/>
      <c r="HQ240" s="181"/>
      <c r="HR240" s="164"/>
      <c r="HS240" s="181"/>
      <c r="HT240" s="164"/>
      <c r="HU240" s="181"/>
      <c r="HV240" s="164"/>
      <c r="HW240" s="181"/>
      <c r="HX240" s="164"/>
      <c r="HY240" s="181"/>
      <c r="HZ240" s="164"/>
      <c r="IA240" s="181"/>
      <c r="IB240" s="164"/>
      <c r="IC240" s="181"/>
      <c r="ID240" s="164"/>
      <c r="IE240" s="200"/>
      <c r="IF240" s="170"/>
      <c r="IG240" s="170"/>
      <c r="IH240" s="170"/>
    </row>
    <row r="241" spans="2:242" s="171" customFormat="1" ht="52.5" hidden="1" customHeight="1" x14ac:dyDescent="0.25">
      <c r="B241" s="178"/>
      <c r="C241" s="174" t="s">
        <v>519</v>
      </c>
      <c r="D241" s="273"/>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758"/>
      <c r="AN241" s="164"/>
      <c r="AO241" s="181"/>
      <c r="AP241" s="164"/>
      <c r="AQ241" s="164"/>
      <c r="AR241" s="164"/>
      <c r="AS241" s="164"/>
      <c r="AT241" s="164"/>
      <c r="AU241" s="164"/>
      <c r="AV241" s="164"/>
      <c r="AW241" s="164"/>
      <c r="AX241" s="164"/>
      <c r="AY241" s="164"/>
      <c r="AZ241" s="164"/>
      <c r="BA241" s="164"/>
      <c r="BB241" s="164"/>
      <c r="BC241" s="164"/>
      <c r="BD241" s="164"/>
      <c r="BE241" s="164"/>
      <c r="BF241" s="164"/>
      <c r="BG241" s="164"/>
      <c r="BH241" s="164"/>
      <c r="BI241" s="164"/>
      <c r="BJ241" s="164"/>
      <c r="BK241" s="181"/>
      <c r="BL241" s="105"/>
      <c r="BM241" s="105"/>
      <c r="BN241" s="105"/>
      <c r="BO241" s="105"/>
      <c r="BP241" s="105"/>
      <c r="BQ241" s="105"/>
      <c r="BR241" s="105"/>
      <c r="BS241" s="105"/>
      <c r="BT241" s="105"/>
      <c r="BU241" s="105"/>
      <c r="BV241" s="164"/>
      <c r="BW241" s="164"/>
      <c r="BX241" s="164"/>
      <c r="BY241" s="164"/>
      <c r="BZ241" s="164"/>
      <c r="CA241" s="164"/>
      <c r="CB241" s="164"/>
      <c r="CC241" s="164"/>
      <c r="CD241" s="164"/>
      <c r="CE241" s="181"/>
      <c r="CF241" s="105"/>
      <c r="CG241" s="164"/>
      <c r="CH241" s="164"/>
      <c r="CI241" s="164"/>
      <c r="CJ241" s="164"/>
      <c r="CK241" s="164"/>
      <c r="CL241" s="164"/>
      <c r="CM241" s="164"/>
      <c r="CN241" s="181"/>
      <c r="CO241" s="181"/>
      <c r="CP241" s="181"/>
      <c r="CQ241" s="164"/>
      <c r="CR241" s="164"/>
      <c r="CS241" s="164"/>
      <c r="CT241" s="164"/>
      <c r="CU241" s="164"/>
      <c r="CV241" s="164"/>
      <c r="CW241" s="164"/>
      <c r="CX241" s="164"/>
      <c r="CY241" s="164"/>
      <c r="CZ241" s="164"/>
      <c r="DA241" s="164"/>
      <c r="DB241" s="164"/>
      <c r="DC241" s="164"/>
      <c r="DD241" s="164"/>
      <c r="DE241" s="164"/>
      <c r="DF241" s="164"/>
      <c r="DG241" s="164"/>
      <c r="DH241" s="164"/>
      <c r="DI241" s="164"/>
      <c r="DJ241" s="164"/>
      <c r="DK241" s="164"/>
      <c r="DL241" s="164"/>
      <c r="DM241" s="164"/>
      <c r="DN241" s="164"/>
      <c r="DO241" s="164"/>
      <c r="DP241" s="164"/>
      <c r="DQ241" s="164"/>
      <c r="DR241" s="164"/>
      <c r="DS241" s="164"/>
      <c r="DT241" s="164"/>
      <c r="DU241" s="164"/>
      <c r="DV241" s="164"/>
      <c r="DW241" s="164"/>
      <c r="DX241" s="164"/>
      <c r="DY241" s="164"/>
      <c r="DZ241" s="164"/>
      <c r="EA241" s="164"/>
      <c r="EB241" s="164"/>
      <c r="EC241" s="164"/>
      <c r="ED241" s="164"/>
      <c r="EE241" s="164"/>
      <c r="EF241" s="164"/>
      <c r="EG241" s="181"/>
      <c r="EH241" s="164"/>
      <c r="EI241" s="181"/>
      <c r="EJ241" s="164"/>
      <c r="EK241" s="164"/>
      <c r="EL241" s="164"/>
      <c r="EM241" s="164"/>
      <c r="EN241" s="164"/>
      <c r="EO241" s="164"/>
      <c r="EP241" s="164"/>
      <c r="EQ241" s="164"/>
      <c r="ER241" s="164"/>
      <c r="ES241" s="181"/>
      <c r="ET241" s="164"/>
      <c r="EU241" s="164"/>
      <c r="EV241" s="164"/>
      <c r="EW241" s="164"/>
      <c r="EX241" s="181"/>
      <c r="EY241" s="164"/>
      <c r="EZ241" s="164"/>
      <c r="FA241" s="164"/>
      <c r="FB241" s="164"/>
      <c r="FC241" s="163">
        <f t="shared" si="565"/>
        <v>350000</v>
      </c>
      <c r="FD241" s="163">
        <v>350000</v>
      </c>
      <c r="FE241" s="180"/>
      <c r="FF241" s="163"/>
      <c r="FG241" s="163"/>
      <c r="FH241" s="163"/>
      <c r="FI241" s="163"/>
      <c r="FJ241" s="163"/>
      <c r="FK241" s="163"/>
      <c r="FL241" s="163"/>
      <c r="FM241" s="163"/>
      <c r="FN241" s="163"/>
      <c r="FO241" s="180"/>
      <c r="FP241" s="163"/>
      <c r="FQ241" s="180"/>
      <c r="FR241" s="163"/>
      <c r="FS241" s="163"/>
      <c r="FT241" s="575">
        <f t="shared" si="506"/>
        <v>0</v>
      </c>
      <c r="FU241" s="163"/>
      <c r="FV241" s="575">
        <f t="shared" si="507"/>
        <v>0</v>
      </c>
      <c r="FW241" s="164"/>
      <c r="FX241" s="164"/>
      <c r="FY241" s="164"/>
      <c r="FZ241" s="164"/>
      <c r="GA241" s="163">
        <f t="shared" si="567"/>
        <v>0</v>
      </c>
      <c r="GB241" s="575">
        <f t="shared" si="568"/>
        <v>0</v>
      </c>
      <c r="GC241" s="163"/>
      <c r="GD241" s="575">
        <f t="shared" si="569"/>
        <v>0</v>
      </c>
      <c r="GE241" s="163"/>
      <c r="GF241" s="164"/>
      <c r="GG241" s="164"/>
      <c r="GH241" s="164"/>
      <c r="GI241" s="163">
        <f>GK241</f>
        <v>0</v>
      </c>
      <c r="GJ241" s="575">
        <f t="shared" si="471"/>
        <v>0</v>
      </c>
      <c r="GK241" s="163">
        <v>0</v>
      </c>
      <c r="GL241" s="575">
        <f t="shared" si="472"/>
        <v>0</v>
      </c>
      <c r="GM241" s="163"/>
      <c r="GN241" s="575"/>
      <c r="GO241" s="163"/>
      <c r="GP241" s="575"/>
      <c r="GQ241" s="164"/>
      <c r="GR241" s="164"/>
      <c r="GS241" s="164"/>
      <c r="GT241" s="164"/>
      <c r="GU241" s="181"/>
      <c r="GV241" s="181"/>
      <c r="GW241" s="181"/>
      <c r="GX241" s="164"/>
      <c r="GY241" s="164"/>
      <c r="GZ241" s="164"/>
      <c r="HA241" s="164"/>
      <c r="HB241" s="164"/>
      <c r="HC241" s="164"/>
      <c r="HD241" s="164"/>
      <c r="HE241" s="164"/>
      <c r="HF241" s="164"/>
      <c r="HG241" s="181"/>
      <c r="HH241" s="164"/>
      <c r="HI241" s="181"/>
      <c r="HJ241" s="164"/>
      <c r="HK241" s="181"/>
      <c r="HL241" s="164"/>
      <c r="HM241" s="181"/>
      <c r="HN241" s="164"/>
      <c r="HO241" s="181"/>
      <c r="HP241" s="164"/>
      <c r="HQ241" s="181"/>
      <c r="HR241" s="164"/>
      <c r="HS241" s="181"/>
      <c r="HT241" s="164"/>
      <c r="HU241" s="181"/>
      <c r="HV241" s="164"/>
      <c r="HW241" s="181"/>
      <c r="HX241" s="164"/>
      <c r="HY241" s="181"/>
      <c r="HZ241" s="164"/>
      <c r="IA241" s="181"/>
      <c r="IB241" s="164"/>
      <c r="IC241" s="181"/>
      <c r="ID241" s="164"/>
      <c r="IE241" s="200"/>
      <c r="IF241" s="170"/>
      <c r="IG241" s="170"/>
      <c r="IH241" s="170"/>
    </row>
    <row r="242" spans="2:242" s="171" customFormat="1" ht="45.75" hidden="1" customHeight="1" x14ac:dyDescent="0.25">
      <c r="B242" s="160"/>
      <c r="C242" s="266" t="s">
        <v>333</v>
      </c>
      <c r="D242" s="255" t="s">
        <v>149</v>
      </c>
      <c r="E242" s="164">
        <f>F242+G242</f>
        <v>55000</v>
      </c>
      <c r="F242" s="164">
        <v>55000</v>
      </c>
      <c r="G242" s="164"/>
      <c r="H242" s="164">
        <f>I242+J242</f>
        <v>0</v>
      </c>
      <c r="I242" s="164">
        <f t="shared" si="562"/>
        <v>0</v>
      </c>
      <c r="J242" s="164">
        <f t="shared" si="562"/>
        <v>0</v>
      </c>
      <c r="K242" s="164">
        <f>L242+M242</f>
        <v>55000</v>
      </c>
      <c r="L242" s="164">
        <v>55000</v>
      </c>
      <c r="M242" s="164"/>
      <c r="N242" s="164">
        <f>O242+P242</f>
        <v>0</v>
      </c>
      <c r="O242" s="164">
        <f t="shared" si="563"/>
        <v>0</v>
      </c>
      <c r="P242" s="164">
        <f t="shared" si="563"/>
        <v>0</v>
      </c>
      <c r="Q242" s="164">
        <f>R242+S242</f>
        <v>55000</v>
      </c>
      <c r="R242" s="164">
        <v>55000</v>
      </c>
      <c r="S242" s="164"/>
      <c r="T242" s="164">
        <f>U242+V242</f>
        <v>55000</v>
      </c>
      <c r="U242" s="164">
        <v>0</v>
      </c>
      <c r="V242" s="164">
        <v>55000</v>
      </c>
      <c r="W242" s="164">
        <f>X242+Y242</f>
        <v>-46217.732000000004</v>
      </c>
      <c r="X242" s="164">
        <f t="shared" si="564"/>
        <v>8782.268</v>
      </c>
      <c r="Y242" s="164">
        <f t="shared" si="564"/>
        <v>-55000</v>
      </c>
      <c r="Z242" s="164">
        <f>AA242+AB242</f>
        <v>8782.268</v>
      </c>
      <c r="AA242" s="164">
        <v>8782.268</v>
      </c>
      <c r="AB242" s="164"/>
      <c r="AC242" s="164">
        <f>AD242+AE242</f>
        <v>0</v>
      </c>
      <c r="AD242" s="164">
        <v>0</v>
      </c>
      <c r="AE242" s="164"/>
      <c r="AF242" s="164" t="e">
        <f>AG242+AH242</f>
        <v>#REF!</v>
      </c>
      <c r="AG242" s="164" t="e">
        <f>'[3]2017_с остатком на торги'!$AG$137</f>
        <v>#REF!</v>
      </c>
      <c r="AH242" s="164"/>
      <c r="AI242" s="164"/>
      <c r="AJ242" s="164">
        <v>5557.3821900000003</v>
      </c>
      <c r="AK242" s="164">
        <f>Z242-AJ242</f>
        <v>3224.8858099999998</v>
      </c>
      <c r="AL242" s="164" t="e">
        <f>AG242-AJ242</f>
        <v>#REF!</v>
      </c>
      <c r="AM242" s="758"/>
      <c r="AN242" s="164"/>
      <c r="AO242" s="164">
        <v>1</v>
      </c>
      <c r="AP242" s="164">
        <v>4946.0645599999998</v>
      </c>
      <c r="AQ242" s="164">
        <v>939.71906000000001</v>
      </c>
      <c r="AR242" s="164" t="e">
        <f>AF242-AP242-AQ242</f>
        <v>#REF!</v>
      </c>
      <c r="AS242" s="164">
        <f>AT242+AU242</f>
        <v>26064.59</v>
      </c>
      <c r="AT242" s="164">
        <v>26064.59</v>
      </c>
      <c r="AU242" s="164"/>
      <c r="AV242" s="164">
        <f>AW242+AX242</f>
        <v>0</v>
      </c>
      <c r="AW242" s="164">
        <v>0</v>
      </c>
      <c r="AX242" s="164">
        <v>0</v>
      </c>
      <c r="AY242" s="164">
        <f>AZ242+BA242</f>
        <v>26064.59</v>
      </c>
      <c r="AZ242" s="164">
        <f>AT242+AW242</f>
        <v>26064.59</v>
      </c>
      <c r="BA242" s="164"/>
      <c r="BB242" s="164">
        <f>BC242+BD242</f>
        <v>0</v>
      </c>
      <c r="BC242" s="164"/>
      <c r="BD242" s="164"/>
      <c r="BE242" s="164">
        <f>BF242+BG242</f>
        <v>0</v>
      </c>
      <c r="BF242" s="164">
        <f>BW242-BC242</f>
        <v>0</v>
      </c>
      <c r="BG242" s="164">
        <f>BX242-BD242</f>
        <v>0</v>
      </c>
      <c r="BH242" s="164">
        <f>BI242+BJ242</f>
        <v>26064.59</v>
      </c>
      <c r="BI242" s="164">
        <f>AZ242</f>
        <v>26064.59</v>
      </c>
      <c r="BJ242" s="164"/>
      <c r="BK242" s="164">
        <v>0.75</v>
      </c>
      <c r="BL242" s="144">
        <f>AZ242*BK242</f>
        <v>19548.442500000001</v>
      </c>
      <c r="BM242" s="144"/>
      <c r="BN242" s="144"/>
      <c r="BO242" s="144"/>
      <c r="BP242" s="144">
        <f>BQ242+BR242</f>
        <v>0</v>
      </c>
      <c r="BQ242" s="144">
        <v>0</v>
      </c>
      <c r="BR242" s="144"/>
      <c r="BS242" s="144">
        <f>BT242+BU242</f>
        <v>26064.59</v>
      </c>
      <c r="BT242" s="144">
        <f>AZ242-BQ242</f>
        <v>26064.59</v>
      </c>
      <c r="BU242" s="144"/>
      <c r="BV242" s="164">
        <f>BW242+BX242</f>
        <v>0</v>
      </c>
      <c r="BW242" s="164"/>
      <c r="BX242" s="164"/>
      <c r="BY242" s="164">
        <f>BZ242+CA242</f>
        <v>-11242.06064</v>
      </c>
      <c r="BZ242" s="164">
        <f>CC242-BI242</f>
        <v>-11242.06064</v>
      </c>
      <c r="CA242" s="164">
        <v>0</v>
      </c>
      <c r="CB242" s="164">
        <f>CC242+CD242</f>
        <v>14822.52936</v>
      </c>
      <c r="CC242" s="164">
        <v>14822.52936</v>
      </c>
      <c r="CD242" s="164"/>
      <c r="CE242" s="164">
        <v>0.5</v>
      </c>
      <c r="CF242" s="144">
        <f>CC242*CE242</f>
        <v>7411.2646800000002</v>
      </c>
      <c r="CG242" s="164"/>
      <c r="CH242" s="164">
        <f>CI242+CJ242</f>
        <v>144038.79123</v>
      </c>
      <c r="CI242" s="164">
        <v>144038.79123</v>
      </c>
      <c r="CJ242" s="164"/>
      <c r="CK242" s="164">
        <f>CL242+CM242</f>
        <v>0</v>
      </c>
      <c r="CL242" s="164">
        <v>0</v>
      </c>
      <c r="CM242" s="164">
        <v>0</v>
      </c>
      <c r="CN242" s="164">
        <f>CN263+CN266</f>
        <v>0</v>
      </c>
      <c r="CO242" s="164">
        <f>CO263+CO266</f>
        <v>0</v>
      </c>
      <c r="CP242" s="164">
        <f>CP263+CP266</f>
        <v>0</v>
      </c>
      <c r="CQ242" s="164">
        <f>CR242+CS242</f>
        <v>144038.79123</v>
      </c>
      <c r="CR242" s="164">
        <v>144038.79123</v>
      </c>
      <c r="CS242" s="164"/>
      <c r="CT242" s="164">
        <f>CU242+CV242</f>
        <v>0</v>
      </c>
      <c r="CU242" s="164">
        <v>0</v>
      </c>
      <c r="CV242" s="164"/>
      <c r="CW242" s="164">
        <f>CX242+CY242</f>
        <v>48850.924639999997</v>
      </c>
      <c r="CX242" s="164">
        <v>48850.924639999997</v>
      </c>
      <c r="CY242" s="164"/>
      <c r="CZ242" s="164">
        <f>DA242+DB242</f>
        <v>55000</v>
      </c>
      <c r="DA242" s="164">
        <v>55000</v>
      </c>
      <c r="DB242" s="164"/>
      <c r="DC242" s="164"/>
      <c r="DD242" s="164"/>
      <c r="DE242" s="164"/>
      <c r="DF242" s="164">
        <f t="shared" si="549"/>
        <v>0</v>
      </c>
      <c r="DG242" s="164">
        <f>DJ242-CX242</f>
        <v>0</v>
      </c>
      <c r="DH242" s="164"/>
      <c r="DI242" s="164">
        <f t="shared" si="550"/>
        <v>48850.924639999997</v>
      </c>
      <c r="DJ242" s="164">
        <f>45000+3850.92464</f>
        <v>48850.924639999997</v>
      </c>
      <c r="DK242" s="164"/>
      <c r="DL242" s="164">
        <f>DM242+DN242</f>
        <v>6392.4279699999997</v>
      </c>
      <c r="DM242" s="164">
        <f>4541.50333+1850.92464</f>
        <v>6392.4279699999997</v>
      </c>
      <c r="DN242" s="164"/>
      <c r="DO242" s="164">
        <f>DP242+DQ242</f>
        <v>19432.60842</v>
      </c>
      <c r="DP242" s="164">
        <f>19432.60842</f>
        <v>19432.60842</v>
      </c>
      <c r="DQ242" s="164"/>
      <c r="DR242" s="164">
        <f t="shared" si="551"/>
        <v>23025.88825</v>
      </c>
      <c r="DS242" s="164">
        <f>DJ242-DM242-DP242</f>
        <v>23025.88825</v>
      </c>
      <c r="DT242" s="164"/>
      <c r="DU242" s="164">
        <f>DV242+DW242</f>
        <v>45000</v>
      </c>
      <c r="DV242" s="164">
        <v>45000</v>
      </c>
      <c r="DW242" s="164"/>
      <c r="DX242" s="164">
        <f>DY242+DZ242</f>
        <v>55000</v>
      </c>
      <c r="DY242" s="164">
        <v>55000</v>
      </c>
      <c r="DZ242" s="164"/>
      <c r="EA242" s="164"/>
      <c r="EB242" s="164"/>
      <c r="EC242" s="164"/>
      <c r="ED242" s="164">
        <f t="shared" si="558"/>
        <v>0</v>
      </c>
      <c r="EE242" s="164">
        <f>EH242-DV242</f>
        <v>0</v>
      </c>
      <c r="EF242" s="164"/>
      <c r="EG242" s="164">
        <f>EH242</f>
        <v>45000</v>
      </c>
      <c r="EH242" s="164">
        <v>45000</v>
      </c>
      <c r="EI242" s="164"/>
      <c r="EJ242" s="164"/>
      <c r="EK242" s="164">
        <f>EL242+EN242</f>
        <v>-45000</v>
      </c>
      <c r="EL242" s="164">
        <f>ET242-EH242</f>
        <v>-45000</v>
      </c>
      <c r="EM242" s="164"/>
      <c r="EN242" s="164"/>
      <c r="EO242" s="164">
        <f>EP242+ER242</f>
        <v>0</v>
      </c>
      <c r="EP242" s="164"/>
      <c r="EQ242" s="164"/>
      <c r="ER242" s="164"/>
      <c r="ES242" s="164">
        <f>ET242</f>
        <v>0</v>
      </c>
      <c r="ET242" s="164"/>
      <c r="EU242" s="164"/>
      <c r="EV242" s="164"/>
      <c r="EW242" s="164">
        <f>EX242+EY242</f>
        <v>45000</v>
      </c>
      <c r="EX242" s="164">
        <v>45000</v>
      </c>
      <c r="EY242" s="164"/>
      <c r="EZ242" s="164">
        <f t="shared" si="559"/>
        <v>-7125.2093800000002</v>
      </c>
      <c r="FA242" s="164">
        <f>FD242-EX242</f>
        <v>-7125.2093800000002</v>
      </c>
      <c r="FB242" s="164"/>
      <c r="FC242" s="163">
        <f t="shared" si="565"/>
        <v>37874.79062</v>
      </c>
      <c r="FD242" s="163">
        <v>37874.79062</v>
      </c>
      <c r="FE242" s="163"/>
      <c r="FF242" s="163"/>
      <c r="FG242" s="163">
        <f>FH242+FJ242</f>
        <v>11067.576110000002</v>
      </c>
      <c r="FH242" s="163">
        <f>FP242-FD242</f>
        <v>11067.576110000002</v>
      </c>
      <c r="FI242" s="163"/>
      <c r="FJ242" s="163"/>
      <c r="FK242" s="163">
        <f>FL242+FN242</f>
        <v>0</v>
      </c>
      <c r="FL242" s="163"/>
      <c r="FM242" s="163"/>
      <c r="FN242" s="163"/>
      <c r="FO242" s="163">
        <f t="shared" si="566"/>
        <v>48942.366730000002</v>
      </c>
      <c r="FP242" s="163">
        <f>FD242+11067.57611</f>
        <v>48942.366730000002</v>
      </c>
      <c r="FQ242" s="163"/>
      <c r="FR242" s="163"/>
      <c r="FS242" s="163">
        <f t="shared" si="560"/>
        <v>18506.55861</v>
      </c>
      <c r="FT242" s="575">
        <f t="shared" si="506"/>
        <v>0.48862471071265817</v>
      </c>
      <c r="FU242" s="163">
        <v>18506.55861</v>
      </c>
      <c r="FV242" s="575">
        <f t="shared" si="507"/>
        <v>0.48862471071265817</v>
      </c>
      <c r="FW242" s="164"/>
      <c r="FX242" s="164"/>
      <c r="FY242" s="164"/>
      <c r="FZ242" s="164"/>
      <c r="GA242" s="163">
        <f t="shared" si="567"/>
        <v>16169.991260000001</v>
      </c>
      <c r="GB242" s="575">
        <f t="shared" si="568"/>
        <v>0.42693282247377873</v>
      </c>
      <c r="GC242" s="163">
        <v>16169.991260000001</v>
      </c>
      <c r="GD242" s="575">
        <f t="shared" si="569"/>
        <v>0.42693282247377873</v>
      </c>
      <c r="GE242" s="163"/>
      <c r="GF242" s="164"/>
      <c r="GG242" s="164"/>
      <c r="GH242" s="164"/>
      <c r="GI242" s="163">
        <f t="shared" si="561"/>
        <v>31188.371569999999</v>
      </c>
      <c r="GJ242" s="575">
        <f t="shared" si="471"/>
        <v>0.82345990722205609</v>
      </c>
      <c r="GK242" s="163">
        <v>31188.371569999999</v>
      </c>
      <c r="GL242" s="575">
        <f t="shared" si="472"/>
        <v>0.82345990722205609</v>
      </c>
      <c r="GM242" s="163"/>
      <c r="GN242" s="575"/>
      <c r="GO242" s="163"/>
      <c r="GP242" s="575"/>
      <c r="GQ242" s="164"/>
      <c r="GR242" s="164"/>
      <c r="GS242" s="164"/>
      <c r="GT242" s="164"/>
      <c r="GU242" s="164">
        <f t="shared" si="570"/>
        <v>47683.231870000003</v>
      </c>
      <c r="GV242" s="164">
        <v>47683.231870000003</v>
      </c>
      <c r="GW242" s="164"/>
      <c r="GX242" s="164"/>
      <c r="GY242" s="164"/>
      <c r="GZ242" s="164"/>
      <c r="HA242" s="164"/>
      <c r="HB242" s="164"/>
      <c r="HC242" s="164"/>
      <c r="HD242" s="164"/>
      <c r="HE242" s="164"/>
      <c r="HF242" s="164"/>
      <c r="HG242" s="164">
        <f t="shared" si="571"/>
        <v>0</v>
      </c>
      <c r="HH242" s="164">
        <f>HP242-GV242</f>
        <v>0</v>
      </c>
      <c r="HI242" s="164"/>
      <c r="HJ242" s="164"/>
      <c r="HK242" s="164">
        <f t="shared" si="572"/>
        <v>0</v>
      </c>
      <c r="HL242" s="164">
        <f>IF242-GZ242</f>
        <v>0</v>
      </c>
      <c r="HM242" s="164"/>
      <c r="HN242" s="164"/>
      <c r="HO242" s="164">
        <f t="shared" si="573"/>
        <v>47683.231870000003</v>
      </c>
      <c r="HP242" s="164">
        <f>GV242</f>
        <v>47683.231870000003</v>
      </c>
      <c r="HQ242" s="164"/>
      <c r="HR242" s="164"/>
      <c r="HS242" s="164">
        <f t="shared" si="574"/>
        <v>47683.231870000003</v>
      </c>
      <c r="HT242" s="164">
        <f>HP242</f>
        <v>47683.231870000003</v>
      </c>
      <c r="HU242" s="164"/>
      <c r="HV242" s="164"/>
      <c r="HW242" s="164">
        <f t="shared" si="575"/>
        <v>0</v>
      </c>
      <c r="HX242" s="164">
        <f>IR242-HL242</f>
        <v>0</v>
      </c>
      <c r="HY242" s="164"/>
      <c r="HZ242" s="164"/>
      <c r="IA242" s="164">
        <f t="shared" si="576"/>
        <v>47683.231870000003</v>
      </c>
      <c r="IB242" s="164">
        <f>HT242</f>
        <v>47683.231870000003</v>
      </c>
      <c r="IC242" s="164"/>
      <c r="ID242" s="164"/>
      <c r="IE242" s="200"/>
      <c r="IF242" s="170"/>
      <c r="IG242" s="170"/>
      <c r="IH242" s="170"/>
    </row>
    <row r="243" spans="2:242" s="127" customFormat="1" ht="46.5" customHeight="1" x14ac:dyDescent="0.25">
      <c r="B243" s="115"/>
      <c r="C243" s="116" t="s">
        <v>132</v>
      </c>
      <c r="D243" s="117"/>
      <c r="E243" s="118"/>
      <c r="F243" s="118"/>
      <c r="G243" s="118"/>
      <c r="H243" s="118"/>
      <c r="I243" s="118"/>
      <c r="J243" s="118"/>
      <c r="K243" s="118"/>
      <c r="L243" s="118"/>
      <c r="M243" s="118"/>
      <c r="N243" s="118"/>
      <c r="O243" s="118"/>
      <c r="P243" s="118"/>
      <c r="Q243" s="119"/>
      <c r="R243" s="119"/>
      <c r="S243" s="119"/>
      <c r="T243" s="119"/>
      <c r="U243" s="119"/>
      <c r="V243" s="119"/>
      <c r="W243" s="119"/>
      <c r="X243" s="119"/>
      <c r="Y243" s="119"/>
      <c r="Z243" s="119"/>
      <c r="AA243" s="119"/>
      <c r="AB243" s="119"/>
      <c r="AC243" s="119"/>
      <c r="AD243" s="119"/>
      <c r="AE243" s="119"/>
      <c r="AF243" s="119"/>
      <c r="AG243" s="119"/>
      <c r="AH243" s="119"/>
      <c r="AI243" s="120"/>
      <c r="AJ243" s="119"/>
      <c r="AK243" s="119"/>
      <c r="AL243" s="119"/>
      <c r="AM243" s="121"/>
      <c r="AN243" s="119"/>
      <c r="AO243" s="122"/>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23"/>
      <c r="BL243" s="124"/>
      <c r="BM243" s="124"/>
      <c r="BN243" s="124"/>
      <c r="BO243" s="124"/>
      <c r="BP243" s="124"/>
      <c r="BQ243" s="124"/>
      <c r="BR243" s="124"/>
      <c r="BS243" s="124"/>
      <c r="BT243" s="124"/>
      <c r="BU243" s="124"/>
      <c r="BV243" s="119"/>
      <c r="BW243" s="119"/>
      <c r="BX243" s="119"/>
      <c r="BY243" s="119"/>
      <c r="BZ243" s="119"/>
      <c r="CA243" s="119"/>
      <c r="CB243" s="119"/>
      <c r="CC243" s="119"/>
      <c r="CD243" s="119"/>
      <c r="CE243" s="124"/>
      <c r="CF243" s="124"/>
      <c r="CG243" s="119"/>
      <c r="CH243" s="119"/>
      <c r="CI243" s="119"/>
      <c r="CJ243" s="119"/>
      <c r="CK243" s="119"/>
      <c r="CL243" s="119"/>
      <c r="CM243" s="119"/>
      <c r="CN243" s="119"/>
      <c r="CO243" s="119"/>
      <c r="CP243" s="119"/>
      <c r="CQ243" s="119"/>
      <c r="CR243" s="119"/>
      <c r="CS243" s="119"/>
      <c r="CT243" s="119"/>
      <c r="CU243" s="119"/>
      <c r="CV243" s="119"/>
      <c r="CW243" s="119"/>
      <c r="CX243" s="119"/>
      <c r="CY243" s="119"/>
      <c r="CZ243" s="119"/>
      <c r="DA243" s="119"/>
      <c r="DB243" s="119"/>
      <c r="DC243" s="119"/>
      <c r="DD243" s="119"/>
      <c r="DE243" s="119"/>
      <c r="DF243" s="119"/>
      <c r="DG243" s="119"/>
      <c r="DH243" s="119"/>
      <c r="DI243" s="119"/>
      <c r="DJ243" s="119"/>
      <c r="DK243" s="119"/>
      <c r="DL243" s="119"/>
      <c r="DM243" s="119"/>
      <c r="DN243" s="119"/>
      <c r="DO243" s="119"/>
      <c r="DP243" s="119"/>
      <c r="DQ243" s="119"/>
      <c r="DR243" s="119"/>
      <c r="DS243" s="119"/>
      <c r="DT243" s="119"/>
      <c r="DU243" s="119"/>
      <c r="DV243" s="119"/>
      <c r="DW243" s="119"/>
      <c r="DX243" s="119"/>
      <c r="DY243" s="119"/>
      <c r="DZ243" s="119"/>
      <c r="EA243" s="119"/>
      <c r="EB243" s="119"/>
      <c r="EC243" s="119"/>
      <c r="ED243" s="119"/>
      <c r="EE243" s="119"/>
      <c r="EF243" s="119"/>
      <c r="EG243" s="119">
        <f>EH243+EI243+EJ243</f>
        <v>99183.673479999998</v>
      </c>
      <c r="EH243" s="119">
        <f>EH63</f>
        <v>99183.673479999998</v>
      </c>
      <c r="EI243" s="119">
        <f>EI63</f>
        <v>0</v>
      </c>
      <c r="EJ243" s="119">
        <f>EJ63</f>
        <v>0</v>
      </c>
      <c r="EK243" s="119">
        <f>EL243+EM243+EN243</f>
        <v>0</v>
      </c>
      <c r="EL243" s="119">
        <f>EL63</f>
        <v>0</v>
      </c>
      <c r="EM243" s="119">
        <f>EM63</f>
        <v>0</v>
      </c>
      <c r="EN243" s="119">
        <f>EN63</f>
        <v>0</v>
      </c>
      <c r="EO243" s="119"/>
      <c r="EP243" s="119"/>
      <c r="EQ243" s="119"/>
      <c r="ER243" s="119"/>
      <c r="ES243" s="119">
        <f>ET243+EU243+EV243</f>
        <v>0</v>
      </c>
      <c r="ET243" s="119">
        <f>ET63</f>
        <v>0</v>
      </c>
      <c r="EU243" s="119">
        <f>EU63</f>
        <v>0</v>
      </c>
      <c r="EV243" s="119">
        <f>EV63</f>
        <v>0</v>
      </c>
      <c r="EW243" s="119"/>
      <c r="EX243" s="119"/>
      <c r="EY243" s="119"/>
      <c r="EZ243" s="119"/>
      <c r="FA243" s="119"/>
      <c r="FB243" s="119"/>
      <c r="FC243" s="118">
        <f>FD243+FE243+FF243</f>
        <v>500000</v>
      </c>
      <c r="FD243" s="118">
        <v>500000</v>
      </c>
      <c r="FE243" s="118">
        <f>FE63</f>
        <v>0</v>
      </c>
      <c r="FF243" s="118">
        <f>FF63</f>
        <v>0</v>
      </c>
      <c r="FG243" s="118">
        <f>FH243+FI243+FJ243</f>
        <v>0</v>
      </c>
      <c r="FH243" s="118">
        <f>FH63</f>
        <v>0</v>
      </c>
      <c r="FI243" s="118">
        <f>FI63</f>
        <v>0</v>
      </c>
      <c r="FJ243" s="118">
        <f>FJ63</f>
        <v>0</v>
      </c>
      <c r="FK243" s="118"/>
      <c r="FL243" s="118"/>
      <c r="FM243" s="118"/>
      <c r="FN243" s="118"/>
      <c r="FO243" s="118">
        <f>FP243+FQ243+FR243</f>
        <v>79624.26122</v>
      </c>
      <c r="FP243" s="118">
        <f>FP63</f>
        <v>79624.26122</v>
      </c>
      <c r="FQ243" s="118">
        <f>FQ63</f>
        <v>0</v>
      </c>
      <c r="FR243" s="118">
        <f>FR63</f>
        <v>0</v>
      </c>
      <c r="FS243" s="74">
        <f>FU243+FW243+FY243</f>
        <v>452157.68648999999</v>
      </c>
      <c r="FT243" s="487">
        <f t="shared" si="506"/>
        <v>0.90431537297999998</v>
      </c>
      <c r="FU243" s="74">
        <v>452157.68648999999</v>
      </c>
      <c r="FV243" s="487">
        <f t="shared" si="507"/>
        <v>0.90431537297999998</v>
      </c>
      <c r="FW243" s="119">
        <f>FW63</f>
        <v>0</v>
      </c>
      <c r="FX243" s="662">
        <v>0</v>
      </c>
      <c r="FY243" s="119">
        <f>FY63</f>
        <v>0</v>
      </c>
      <c r="FZ243" s="662">
        <v>0</v>
      </c>
      <c r="GA243" s="74">
        <f>GC243+GE243+GG243</f>
        <v>452157.68648999999</v>
      </c>
      <c r="GB243" s="487">
        <f t="shared" si="568"/>
        <v>0.90431537297999998</v>
      </c>
      <c r="GC243" s="74">
        <v>452157.68648999999</v>
      </c>
      <c r="GD243" s="487">
        <f t="shared" si="569"/>
        <v>0.90431537297999998</v>
      </c>
      <c r="GE243" s="119">
        <f>GE63</f>
        <v>0</v>
      </c>
      <c r="GF243" s="513"/>
      <c r="GG243" s="119">
        <f>GG63</f>
        <v>0</v>
      </c>
      <c r="GH243" s="513">
        <v>0</v>
      </c>
      <c r="GI243" s="74">
        <f>GK243+GM243+GO243</f>
        <v>452157.68648999999</v>
      </c>
      <c r="GJ243" s="487">
        <f t="shared" si="471"/>
        <v>0.90431537297999998</v>
      </c>
      <c r="GK243" s="118">
        <v>452157.68648999999</v>
      </c>
      <c r="GL243" s="487">
        <f t="shared" si="472"/>
        <v>0.90431537297999998</v>
      </c>
      <c r="GM243" s="118"/>
      <c r="GN243" s="487"/>
      <c r="GO243" s="118"/>
      <c r="GP243" s="487"/>
      <c r="GQ243" s="119"/>
      <c r="GR243" s="119"/>
      <c r="GS243" s="119"/>
      <c r="GT243" s="119"/>
      <c r="GU243" s="119">
        <f>GV243+GW243+GX243</f>
        <v>192000</v>
      </c>
      <c r="GV243" s="119">
        <f>GV63</f>
        <v>192000</v>
      </c>
      <c r="GW243" s="119">
        <f>GW63</f>
        <v>0</v>
      </c>
      <c r="GX243" s="119">
        <f>GX63</f>
        <v>0</v>
      </c>
      <c r="GY243" s="119"/>
      <c r="GZ243" s="119"/>
      <c r="HA243" s="119"/>
      <c r="HB243" s="119"/>
      <c r="HC243" s="119"/>
      <c r="HD243" s="119"/>
      <c r="HE243" s="119"/>
      <c r="HF243" s="119"/>
      <c r="HG243" s="119">
        <f>HH243+HI243+HJ243</f>
        <v>0</v>
      </c>
      <c r="HH243" s="119">
        <f>HH63</f>
        <v>0</v>
      </c>
      <c r="HI243" s="119">
        <f>HI63</f>
        <v>0</v>
      </c>
      <c r="HJ243" s="119">
        <f>HJ63</f>
        <v>0</v>
      </c>
      <c r="HK243" s="119">
        <v>0</v>
      </c>
      <c r="HL243" s="119">
        <v>0</v>
      </c>
      <c r="HM243" s="119">
        <v>0</v>
      </c>
      <c r="HN243" s="119">
        <v>0</v>
      </c>
      <c r="HO243" s="119">
        <f>HP243+HQ243+HR243</f>
        <v>192000</v>
      </c>
      <c r="HP243" s="119">
        <f>HP63</f>
        <v>192000</v>
      </c>
      <c r="HQ243" s="119">
        <f>HQ63</f>
        <v>0</v>
      </c>
      <c r="HR243" s="119">
        <f>HR63</f>
        <v>0</v>
      </c>
      <c r="HS243" s="119">
        <f>HT243+HU243+HV243</f>
        <v>0</v>
      </c>
      <c r="HT243" s="119">
        <f>HT63</f>
        <v>0</v>
      </c>
      <c r="HU243" s="119">
        <f>HU63</f>
        <v>0</v>
      </c>
      <c r="HV243" s="119">
        <f>HV63</f>
        <v>0</v>
      </c>
      <c r="HW243" s="272">
        <f>HX243+HY243+HZ243</f>
        <v>0</v>
      </c>
      <c r="HX243" s="119">
        <f>HX63</f>
        <v>0</v>
      </c>
      <c r="HY243" s="119">
        <f>HY63</f>
        <v>0</v>
      </c>
      <c r="HZ243" s="119">
        <f>HZ63</f>
        <v>0</v>
      </c>
      <c r="IA243" s="119">
        <f>IB243+IC243+ID243</f>
        <v>0</v>
      </c>
      <c r="IB243" s="119">
        <f>IB63</f>
        <v>0</v>
      </c>
      <c r="IC243" s="119">
        <f>IC63</f>
        <v>0</v>
      </c>
      <c r="ID243" s="119">
        <f>ID63</f>
        <v>0</v>
      </c>
      <c r="IE243" s="125"/>
      <c r="IF243" s="126"/>
      <c r="IG243" s="126"/>
      <c r="IH243" s="126"/>
    </row>
    <row r="244" spans="2:242" s="239" customFormat="1" ht="112.5" customHeight="1" x14ac:dyDescent="0.25">
      <c r="B244" s="131" t="s">
        <v>89</v>
      </c>
      <c r="C244" s="260" t="s">
        <v>512</v>
      </c>
      <c r="D244" s="260" t="s">
        <v>335</v>
      </c>
      <c r="E244" s="136" t="e">
        <f>E248+#REF!+#REF!</f>
        <v>#REF!</v>
      </c>
      <c r="F244" s="136" t="e">
        <f>F248+#REF!+#REF!</f>
        <v>#REF!</v>
      </c>
      <c r="G244" s="136" t="e">
        <f>G248+#REF!+#REF!</f>
        <v>#REF!</v>
      </c>
      <c r="H244" s="136" t="e">
        <f>H248+#REF!+#REF!</f>
        <v>#REF!</v>
      </c>
      <c r="I244" s="136" t="e">
        <f>I248+#REF!+#REF!</f>
        <v>#REF!</v>
      </c>
      <c r="J244" s="136" t="e">
        <f>J248+#REF!+#REF!</f>
        <v>#REF!</v>
      </c>
      <c r="K244" s="136" t="e">
        <f>K248+#REF!+#REF!</f>
        <v>#REF!</v>
      </c>
      <c r="L244" s="136" t="e">
        <f>L248+#REF!+#REF!</f>
        <v>#REF!</v>
      </c>
      <c r="M244" s="136" t="e">
        <f>M248+#REF!+#REF!</f>
        <v>#REF!</v>
      </c>
      <c r="N244" s="136" t="e">
        <f>N248+#REF!+#REF!</f>
        <v>#REF!</v>
      </c>
      <c r="O244" s="136" t="e">
        <f>O248+#REF!+#REF!</f>
        <v>#REF!</v>
      </c>
      <c r="P244" s="136" t="e">
        <f>P248+#REF!+#REF!</f>
        <v>#REF!</v>
      </c>
      <c r="Q244" s="136" t="e">
        <f>Q248+#REF!+#REF!</f>
        <v>#REF!</v>
      </c>
      <c r="R244" s="136" t="e">
        <f>R248+#REF!+#REF!</f>
        <v>#REF!</v>
      </c>
      <c r="S244" s="136" t="e">
        <f>S248+#REF!+#REF!</f>
        <v>#REF!</v>
      </c>
      <c r="T244" s="136" t="e">
        <f>T248+#REF!+#REF!</f>
        <v>#REF!</v>
      </c>
      <c r="U244" s="136" t="e">
        <f>U248+#REF!+#REF!</f>
        <v>#REF!</v>
      </c>
      <c r="V244" s="136" t="e">
        <f>V248+#REF!+#REF!</f>
        <v>#REF!</v>
      </c>
      <c r="W244" s="136" t="e">
        <f>W248+#REF!+#REF!</f>
        <v>#REF!</v>
      </c>
      <c r="X244" s="136" t="e">
        <f>X248+#REF!+#REF!</f>
        <v>#REF!</v>
      </c>
      <c r="Y244" s="136" t="e">
        <f>Y248+#REF!+#REF!</f>
        <v>#REF!</v>
      </c>
      <c r="Z244" s="136" t="e">
        <f>Z248+#REF!+#REF!</f>
        <v>#REF!</v>
      </c>
      <c r="AA244" s="136" t="e">
        <f>AA248+#REF!+#REF!</f>
        <v>#REF!</v>
      </c>
      <c r="AB244" s="136" t="e">
        <f>AB248+#REF!+#REF!</f>
        <v>#REF!</v>
      </c>
      <c r="AC244" s="136" t="e">
        <f>AC248+#REF!+#REF!</f>
        <v>#REF!</v>
      </c>
      <c r="AD244" s="136" t="e">
        <f>AD248+#REF!+#REF!</f>
        <v>#REF!</v>
      </c>
      <c r="AE244" s="136" t="e">
        <f>AE248+#REF!+#REF!</f>
        <v>#REF!</v>
      </c>
      <c r="AF244" s="136" t="e">
        <f>AF248+#REF!+#REF!</f>
        <v>#REF!</v>
      </c>
      <c r="AG244" s="136" t="e">
        <f>AG248+#REF!+#REF!</f>
        <v>#REF!</v>
      </c>
      <c r="AH244" s="136" t="e">
        <f>AH248+#REF!+#REF!</f>
        <v>#REF!</v>
      </c>
      <c r="AI244" s="136">
        <v>0</v>
      </c>
      <c r="AJ244" s="136" t="e">
        <f>AJ248+#REF!+#REF!</f>
        <v>#REF!</v>
      </c>
      <c r="AK244" s="261" t="e">
        <f>Z244-AJ244</f>
        <v>#REF!</v>
      </c>
      <c r="AL244" s="261" t="e">
        <f>AF244-AJ244</f>
        <v>#REF!</v>
      </c>
      <c r="AM244" s="758" t="s">
        <v>336</v>
      </c>
      <c r="AN244" s="263" t="s">
        <v>321</v>
      </c>
      <c r="AO244" s="264">
        <v>1</v>
      </c>
      <c r="AP244" s="139" t="e">
        <f>AP248+#REF!</f>
        <v>#REF!</v>
      </c>
      <c r="AQ244" s="139" t="e">
        <f>AQ248+#REF!</f>
        <v>#REF!</v>
      </c>
      <c r="AR244" s="139" t="e">
        <f>AR248+#REF!</f>
        <v>#REF!</v>
      </c>
      <c r="AS244" s="136" t="e">
        <f>AS248+#REF!+#REF!</f>
        <v>#REF!</v>
      </c>
      <c r="AT244" s="136" t="e">
        <f>AT248+#REF!+#REF!</f>
        <v>#REF!</v>
      </c>
      <c r="AU244" s="136" t="e">
        <f>AU248+#REF!+#REF!</f>
        <v>#REF!</v>
      </c>
      <c r="AV244" s="136" t="e">
        <f>AW244+AX244</f>
        <v>#REF!</v>
      </c>
      <c r="AW244" s="136" t="e">
        <f>AW248+#REF!</f>
        <v>#REF!</v>
      </c>
      <c r="AX244" s="136" t="e">
        <f>AX248+#REF!</f>
        <v>#REF!</v>
      </c>
      <c r="AY244" s="136" t="e">
        <f>AY248+#REF!+#REF!</f>
        <v>#REF!</v>
      </c>
      <c r="AZ244" s="136" t="e">
        <f>AZ248+#REF!+#REF!</f>
        <v>#REF!</v>
      </c>
      <c r="BA244" s="136" t="e">
        <f>BA248+#REF!+#REF!</f>
        <v>#REF!</v>
      </c>
      <c r="BB244" s="136" t="e">
        <f>BB248+#REF!+#REF!</f>
        <v>#REF!</v>
      </c>
      <c r="BC244" s="136" t="e">
        <f>BC248+#REF!+#REF!</f>
        <v>#REF!</v>
      </c>
      <c r="BD244" s="136" t="e">
        <f>BD248+#REF!+#REF!</f>
        <v>#REF!</v>
      </c>
      <c r="BE244" s="136" t="e">
        <f>BE248+#REF!+#REF!</f>
        <v>#REF!</v>
      </c>
      <c r="BF244" s="136" t="e">
        <f>BF248+#REF!+#REF!</f>
        <v>#REF!</v>
      </c>
      <c r="BG244" s="136" t="e">
        <f>BG248+#REF!+#REF!</f>
        <v>#REF!</v>
      </c>
      <c r="BH244" s="136" t="e">
        <f>BH248+#REF!+#REF!</f>
        <v>#REF!</v>
      </c>
      <c r="BI244" s="136" t="e">
        <f>BI248+#REF!+#REF!</f>
        <v>#REF!</v>
      </c>
      <c r="BJ244" s="136" t="e">
        <f>BJ248+#REF!+#REF!</f>
        <v>#REF!</v>
      </c>
      <c r="BK244" s="264" t="e">
        <f>BL244/AY244</f>
        <v>#REF!</v>
      </c>
      <c r="BL244" s="136" t="e">
        <f>AZ244*75/100</f>
        <v>#REF!</v>
      </c>
      <c r="BM244" s="136" t="e">
        <f>BM248+#REF!+#REF!</f>
        <v>#REF!</v>
      </c>
      <c r="BN244" s="136" t="e">
        <f>BN248+#REF!+#REF!</f>
        <v>#REF!</v>
      </c>
      <c r="BO244" s="136" t="e">
        <f>BO248+#REF!+#REF!</f>
        <v>#REF!</v>
      </c>
      <c r="BP244" s="136" t="e">
        <f>BP248+#REF!+#REF!</f>
        <v>#REF!</v>
      </c>
      <c r="BQ244" s="136" t="e">
        <f>BQ248+#REF!+#REF!</f>
        <v>#REF!</v>
      </c>
      <c r="BR244" s="136" t="e">
        <f>BR248+#REF!+#REF!</f>
        <v>#REF!</v>
      </c>
      <c r="BS244" s="136" t="e">
        <f>BS248+#REF!+#REF!</f>
        <v>#REF!</v>
      </c>
      <c r="BT244" s="136" t="e">
        <f>BT248+#REF!+#REF!</f>
        <v>#REF!</v>
      </c>
      <c r="BU244" s="136" t="e">
        <f>BU248+#REF!+#REF!</f>
        <v>#REF!</v>
      </c>
      <c r="BV244" s="136" t="e">
        <f>BV248+#REF!+#REF!</f>
        <v>#REF!</v>
      </c>
      <c r="BW244" s="136" t="e">
        <f>BW248+#REF!+#REF!</f>
        <v>#REF!</v>
      </c>
      <c r="BX244" s="136" t="e">
        <f>BX248+#REF!+#REF!</f>
        <v>#REF!</v>
      </c>
      <c r="BY244" s="136" t="e">
        <f>BY248+#REF!+#REF!</f>
        <v>#REF!</v>
      </c>
      <c r="BZ244" s="136" t="e">
        <f>BZ248+#REF!+#REF!</f>
        <v>#REF!</v>
      </c>
      <c r="CA244" s="136" t="e">
        <f>CA248+#REF!+#REF!</f>
        <v>#REF!</v>
      </c>
      <c r="CB244" s="136" t="e">
        <f>CB248+#REF!+#REF!</f>
        <v>#REF!</v>
      </c>
      <c r="CC244" s="136" t="e">
        <f>CC248+#REF!+#REF!</f>
        <v>#REF!</v>
      </c>
      <c r="CD244" s="136" t="e">
        <f>CD248+#REF!+#REF!</f>
        <v>#REF!</v>
      </c>
      <c r="CE244" s="264" t="e">
        <f>CF244/BV244</f>
        <v>#REF!</v>
      </c>
      <c r="CF244" s="136" t="e">
        <f>CF248+#REF!</f>
        <v>#REF!</v>
      </c>
      <c r="CG244" s="260"/>
      <c r="CH244" s="136" t="e">
        <f>CH248+#REF!+#REF!</f>
        <v>#REF!</v>
      </c>
      <c r="CI244" s="136" t="e">
        <f>CI248+#REF!+#REF!</f>
        <v>#REF!</v>
      </c>
      <c r="CJ244" s="136" t="e">
        <f>CJ248+#REF!+#REF!</f>
        <v>#REF!</v>
      </c>
      <c r="CK244" s="136" t="e">
        <f>CL244+CM244</f>
        <v>#REF!</v>
      </c>
      <c r="CL244" s="136" t="e">
        <f>CL248+#REF!</f>
        <v>#REF!</v>
      </c>
      <c r="CM244" s="136" t="e">
        <f>CM248+#REF!</f>
        <v>#REF!</v>
      </c>
      <c r="CN244" s="264" t="e">
        <f>CN248+CN267</f>
        <v>#REF!</v>
      </c>
      <c r="CO244" s="264" t="e">
        <f>CO248+CO267</f>
        <v>#REF!</v>
      </c>
      <c r="CP244" s="264" t="e">
        <f>CP248+CP267</f>
        <v>#REF!</v>
      </c>
      <c r="CQ244" s="136" t="e">
        <f>CQ248+#REF!+#REF!</f>
        <v>#REF!</v>
      </c>
      <c r="CR244" s="136" t="e">
        <f>CR248+#REF!+#REF!</f>
        <v>#REF!</v>
      </c>
      <c r="CS244" s="136" t="e">
        <f>CS248+#REF!+#REF!</f>
        <v>#REF!</v>
      </c>
      <c r="CT244" s="136" t="e">
        <f>CT248+#REF!+#REF!</f>
        <v>#REF!</v>
      </c>
      <c r="CU244" s="136" t="e">
        <f>CU248+#REF!+#REF!</f>
        <v>#REF!</v>
      </c>
      <c r="CV244" s="136" t="e">
        <f>CV248+#REF!+#REF!</f>
        <v>#REF!</v>
      </c>
      <c r="CW244" s="136">
        <f>CX244</f>
        <v>296317.40000000002</v>
      </c>
      <c r="CX244" s="136">
        <f>CX248</f>
        <v>296317.40000000002</v>
      </c>
      <c r="CY244" s="136">
        <f>CY248</f>
        <v>0</v>
      </c>
      <c r="CZ244" s="136" t="e">
        <f>CZ248+#REF!+#REF!</f>
        <v>#REF!</v>
      </c>
      <c r="DA244" s="136" t="e">
        <f>DA248+#REF!+#REF!</f>
        <v>#REF!</v>
      </c>
      <c r="DB244" s="136" t="e">
        <f>DB248+#REF!+#REF!</f>
        <v>#REF!</v>
      </c>
      <c r="DC244" s="136"/>
      <c r="DD244" s="136"/>
      <c r="DE244" s="136"/>
      <c r="DF244" s="136" t="e">
        <f>DG244</f>
        <v>#REF!</v>
      </c>
      <c r="DG244" s="136" t="e">
        <f>DG248+#REF!</f>
        <v>#REF!</v>
      </c>
      <c r="DH244" s="136">
        <f>DH248</f>
        <v>0</v>
      </c>
      <c r="DI244" s="136" t="e">
        <f>DJ244</f>
        <v>#REF!</v>
      </c>
      <c r="DJ244" s="136" t="e">
        <f>DJ248+#REF!</f>
        <v>#REF!</v>
      </c>
      <c r="DK244" s="136">
        <f>DK248</f>
        <v>0</v>
      </c>
      <c r="DL244" s="136">
        <f>DM244</f>
        <v>0</v>
      </c>
      <c r="DM244" s="136">
        <f>DM248</f>
        <v>0</v>
      </c>
      <c r="DN244" s="136">
        <f>DN248</f>
        <v>0</v>
      </c>
      <c r="DO244" s="136">
        <f>DP244</f>
        <v>0</v>
      </c>
      <c r="DP244" s="136">
        <f>DP248</f>
        <v>0</v>
      </c>
      <c r="DQ244" s="136">
        <f>DQ248</f>
        <v>0</v>
      </c>
      <c r="DR244" s="136">
        <f>DS244</f>
        <v>296317.40000000002</v>
      </c>
      <c r="DS244" s="136">
        <f>DS248</f>
        <v>296317.40000000002</v>
      </c>
      <c r="DT244" s="136">
        <f>DT248</f>
        <v>0</v>
      </c>
      <c r="DU244" s="136">
        <f>DV244</f>
        <v>0</v>
      </c>
      <c r="DV244" s="136">
        <f>DV248</f>
        <v>0</v>
      </c>
      <c r="DW244" s="136">
        <f>DW248</f>
        <v>0</v>
      </c>
      <c r="DX244" s="136" t="e">
        <f>DX248+#REF!+#REF!</f>
        <v>#REF!</v>
      </c>
      <c r="DY244" s="136" t="e">
        <f>DY248+#REF!+#REF!</f>
        <v>#REF!</v>
      </c>
      <c r="DZ244" s="136" t="e">
        <f>DZ248+#REF!+#REF!</f>
        <v>#REF!</v>
      </c>
      <c r="EA244" s="136"/>
      <c r="EB244" s="136"/>
      <c r="EC244" s="136"/>
      <c r="ED244" s="136" t="e">
        <f t="shared" si="558"/>
        <v>#REF!</v>
      </c>
      <c r="EE244" s="136" t="e">
        <f>EE248+#REF!</f>
        <v>#REF!</v>
      </c>
      <c r="EF244" s="136"/>
      <c r="EG244" s="264" t="e">
        <f>EH244+EI244+EJ244</f>
        <v>#REF!</v>
      </c>
      <c r="EH244" s="264" t="e">
        <f>EH248+#REF!</f>
        <v>#REF!</v>
      </c>
      <c r="EI244" s="264"/>
      <c r="EJ244" s="136"/>
      <c r="EK244" s="264" t="e">
        <f>EL244+EN244</f>
        <v>#REF!</v>
      </c>
      <c r="EL244" s="264" t="e">
        <f>EL248+#REF!</f>
        <v>#REF!</v>
      </c>
      <c r="EM244" s="264" t="e">
        <f>EM248+#REF!</f>
        <v>#REF!</v>
      </c>
      <c r="EN244" s="264" t="e">
        <f>EN248+#REF!</f>
        <v>#REF!</v>
      </c>
      <c r="EO244" s="264" t="e">
        <f>EP244+ER244</f>
        <v>#REF!</v>
      </c>
      <c r="EP244" s="264" t="e">
        <f>EP248+#REF!</f>
        <v>#REF!</v>
      </c>
      <c r="EQ244" s="264" t="e">
        <f>EQ248+#REF!</f>
        <v>#REF!</v>
      </c>
      <c r="ER244" s="264" t="e">
        <f>ER248+#REF!</f>
        <v>#REF!</v>
      </c>
      <c r="ES244" s="264" t="e">
        <f>ET244+EU244+EV244</f>
        <v>#REF!</v>
      </c>
      <c r="ET244" s="264" t="e">
        <f>ET248+#REF!</f>
        <v>#REF!</v>
      </c>
      <c r="EU244" s="136"/>
      <c r="EV244" s="136"/>
      <c r="EW244" s="136">
        <f>EX244</f>
        <v>0</v>
      </c>
      <c r="EX244" s="136">
        <f>EX248</f>
        <v>0</v>
      </c>
      <c r="EY244" s="136">
        <f>EY248</f>
        <v>0</v>
      </c>
      <c r="EZ244" s="136" t="e">
        <f t="shared" si="559"/>
        <v>#REF!</v>
      </c>
      <c r="FA244" s="136" t="e">
        <f>FA248+#REF!</f>
        <v>#REF!</v>
      </c>
      <c r="FB244" s="136"/>
      <c r="FC244" s="343">
        <f>FD244+FE244+FF244</f>
        <v>2182125.1980400002</v>
      </c>
      <c r="FD244" s="343">
        <f>FD245+FD246</f>
        <v>2128813.2560400004</v>
      </c>
      <c r="FE244" s="343">
        <f>EY244+FB244</f>
        <v>0</v>
      </c>
      <c r="FF244" s="343">
        <f>FF245+FF246</f>
        <v>53311.942000000003</v>
      </c>
      <c r="FG244" s="343">
        <f>FH244+FI244+FJ244</f>
        <v>0</v>
      </c>
      <c r="FH244" s="343">
        <f>FH248+FH249</f>
        <v>0</v>
      </c>
      <c r="FI244" s="343"/>
      <c r="FJ244" s="134"/>
      <c r="FK244" s="343" t="e">
        <f>FL244+FN244</f>
        <v>#REF!</v>
      </c>
      <c r="FL244" s="343" t="e">
        <f>FL248+#REF!</f>
        <v>#REF!</v>
      </c>
      <c r="FM244" s="343" t="e">
        <f>FM248+#REF!</f>
        <v>#REF!</v>
      </c>
      <c r="FN244" s="343" t="e">
        <f>FN248+#REF!</f>
        <v>#REF!</v>
      </c>
      <c r="FO244" s="343">
        <f>FP244+FQ244+FR244</f>
        <v>1779345.75795</v>
      </c>
      <c r="FP244" s="343">
        <f>FP248+FP249</f>
        <v>1779345.75795</v>
      </c>
      <c r="FQ244" s="343"/>
      <c r="FR244" s="134"/>
      <c r="FS244" s="134">
        <f t="shared" si="560"/>
        <v>1929698.4510699997</v>
      </c>
      <c r="FT244" s="578">
        <f t="shared" si="506"/>
        <v>0.88432068554236398</v>
      </c>
      <c r="FU244" s="134">
        <f>FU245+FU246</f>
        <v>1929698.4510699997</v>
      </c>
      <c r="FV244" s="578">
        <f t="shared" si="507"/>
        <v>0.90646675822547618</v>
      </c>
      <c r="FW244" s="264"/>
      <c r="FX244" s="136"/>
      <c r="FY244" s="264"/>
      <c r="FZ244" s="136"/>
      <c r="GA244" s="134">
        <f t="shared" si="567"/>
        <v>1876148.0410699998</v>
      </c>
      <c r="GB244" s="578">
        <f t="shared" si="568"/>
        <v>0.85978020085885487</v>
      </c>
      <c r="GC244" s="134">
        <f>GC245+GC246</f>
        <v>1876148.0410699998</v>
      </c>
      <c r="GD244" s="578">
        <f t="shared" si="569"/>
        <v>0.88131170535831493</v>
      </c>
      <c r="GE244" s="264"/>
      <c r="GF244" s="136"/>
      <c r="GG244" s="264"/>
      <c r="GH244" s="136"/>
      <c r="GI244" s="134">
        <f>GK244+GO244</f>
        <v>2148438.2477599997</v>
      </c>
      <c r="GJ244" s="578">
        <f t="shared" si="471"/>
        <v>0.98456232011331968</v>
      </c>
      <c r="GK244" s="134">
        <f>GK245+GK246</f>
        <v>2097844.7687599999</v>
      </c>
      <c r="GL244" s="578">
        <f t="shared" si="472"/>
        <v>0.98545269896636789</v>
      </c>
      <c r="GM244" s="343">
        <v>0</v>
      </c>
      <c r="GN244" s="578">
        <v>0</v>
      </c>
      <c r="GO244" s="343">
        <f>GO246</f>
        <v>50593.478999999999</v>
      </c>
      <c r="GP244" s="578">
        <f>GO244/FF244</f>
        <v>0.94900836664325594</v>
      </c>
      <c r="GQ244" s="136"/>
      <c r="GR244" s="136"/>
      <c r="GS244" s="136"/>
      <c r="GT244" s="136"/>
      <c r="GU244" s="264">
        <f t="shared" si="570"/>
        <v>1901480</v>
      </c>
      <c r="GV244" s="264">
        <f>GV248+GV249</f>
        <v>1901480</v>
      </c>
      <c r="GW244" s="264"/>
      <c r="GX244" s="136"/>
      <c r="GY244" s="136"/>
      <c r="GZ244" s="136"/>
      <c r="HA244" s="136"/>
      <c r="HB244" s="136"/>
      <c r="HC244" s="136"/>
      <c r="HD244" s="136"/>
      <c r="HE244" s="136"/>
      <c r="HF244" s="136"/>
      <c r="HG244" s="264">
        <f t="shared" si="571"/>
        <v>0</v>
      </c>
      <c r="HH244" s="264">
        <f>HH248+HH249</f>
        <v>0</v>
      </c>
      <c r="HI244" s="264"/>
      <c r="HJ244" s="136"/>
      <c r="HK244" s="264" t="e">
        <f t="shared" si="572"/>
        <v>#REF!</v>
      </c>
      <c r="HL244" s="264" t="e">
        <f>HL248+#REF!</f>
        <v>#REF!</v>
      </c>
      <c r="HM244" s="264"/>
      <c r="HN244" s="136"/>
      <c r="HO244" s="264">
        <f t="shared" si="573"/>
        <v>1901480</v>
      </c>
      <c r="HP244" s="264">
        <f>HP248+HP249</f>
        <v>1901480</v>
      </c>
      <c r="HQ244" s="264"/>
      <c r="HR244" s="136"/>
      <c r="HS244" s="264">
        <f t="shared" si="574"/>
        <v>1721862</v>
      </c>
      <c r="HT244" s="264">
        <f>HT248+HT249</f>
        <v>1721862</v>
      </c>
      <c r="HU244" s="264"/>
      <c r="HV244" s="136"/>
      <c r="HW244" s="264">
        <f t="shared" si="575"/>
        <v>0</v>
      </c>
      <c r="HX244" s="264">
        <f>HX248+HX249</f>
        <v>0</v>
      </c>
      <c r="HY244" s="264"/>
      <c r="HZ244" s="136"/>
      <c r="IA244" s="264">
        <f t="shared" si="576"/>
        <v>1721862</v>
      </c>
      <c r="IB244" s="264">
        <f>IB248+IB249</f>
        <v>1721862</v>
      </c>
      <c r="IC244" s="264"/>
      <c r="ID244" s="136"/>
      <c r="IE244" s="568" t="s">
        <v>339</v>
      </c>
      <c r="IF244" s="265"/>
      <c r="IG244" s="265"/>
      <c r="IH244" s="265"/>
    </row>
    <row r="245" spans="2:242" s="184" customFormat="1" ht="46.5" customHeight="1" x14ac:dyDescent="0.25">
      <c r="B245" s="178"/>
      <c r="C245" s="101" t="s">
        <v>131</v>
      </c>
      <c r="D245" s="179"/>
      <c r="E245" s="180"/>
      <c r="F245" s="180"/>
      <c r="G245" s="180"/>
      <c r="H245" s="180"/>
      <c r="I245" s="180"/>
      <c r="J245" s="180"/>
      <c r="K245" s="180"/>
      <c r="L245" s="180"/>
      <c r="M245" s="180"/>
      <c r="N245" s="180"/>
      <c r="O245" s="180"/>
      <c r="P245" s="180"/>
      <c r="Q245" s="181"/>
      <c r="R245" s="181"/>
      <c r="S245" s="181"/>
      <c r="T245" s="181"/>
      <c r="U245" s="181"/>
      <c r="V245" s="181"/>
      <c r="W245" s="181"/>
      <c r="X245" s="181"/>
      <c r="Y245" s="181"/>
      <c r="Z245" s="181"/>
      <c r="AA245" s="181"/>
      <c r="AB245" s="181"/>
      <c r="AC245" s="181"/>
      <c r="AD245" s="181"/>
      <c r="AE245" s="181"/>
      <c r="AF245" s="181"/>
      <c r="AG245" s="181"/>
      <c r="AH245" s="181"/>
      <c r="AI245" s="182"/>
      <c r="AJ245" s="181"/>
      <c r="AK245" s="181"/>
      <c r="AL245" s="181"/>
      <c r="AM245" s="758"/>
      <c r="AN245" s="181"/>
      <c r="AO245" s="109"/>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10"/>
      <c r="BL245" s="106"/>
      <c r="BM245" s="106"/>
      <c r="BN245" s="106"/>
      <c r="BO245" s="106"/>
      <c r="BP245" s="106"/>
      <c r="BQ245" s="106"/>
      <c r="BR245" s="106"/>
      <c r="BS245" s="106"/>
      <c r="BT245" s="106"/>
      <c r="BU245" s="106"/>
      <c r="BV245" s="181"/>
      <c r="BW245" s="181"/>
      <c r="BX245" s="181"/>
      <c r="BY245" s="181"/>
      <c r="BZ245" s="181"/>
      <c r="CA245" s="181"/>
      <c r="CB245" s="181"/>
      <c r="CC245" s="181"/>
      <c r="CD245" s="181"/>
      <c r="CE245" s="106"/>
      <c r="CF245" s="106"/>
      <c r="CG245" s="181"/>
      <c r="CH245" s="181"/>
      <c r="CI245" s="181"/>
      <c r="CJ245" s="181"/>
      <c r="CK245" s="181"/>
      <c r="CL245" s="181"/>
      <c r="CM245" s="181"/>
      <c r="CN245" s="181"/>
      <c r="CO245" s="181"/>
      <c r="CP245" s="181"/>
      <c r="CQ245" s="181"/>
      <c r="CR245" s="181"/>
      <c r="CS245" s="181"/>
      <c r="CT245" s="181"/>
      <c r="CU245" s="181"/>
      <c r="CV245" s="181"/>
      <c r="CW245" s="181"/>
      <c r="CX245" s="181"/>
      <c r="CY245" s="181"/>
      <c r="CZ245" s="181"/>
      <c r="DA245" s="181"/>
      <c r="DB245" s="181"/>
      <c r="DC245" s="181"/>
      <c r="DD245" s="181"/>
      <c r="DE245" s="181"/>
      <c r="DF245" s="181"/>
      <c r="DG245" s="181"/>
      <c r="DH245" s="181"/>
      <c r="DI245" s="181"/>
      <c r="DJ245" s="181"/>
      <c r="DK245" s="181"/>
      <c r="DL245" s="181"/>
      <c r="DM245" s="181"/>
      <c r="DN245" s="181"/>
      <c r="DO245" s="181"/>
      <c r="DP245" s="181"/>
      <c r="DQ245" s="181"/>
      <c r="DR245" s="181"/>
      <c r="DS245" s="181"/>
      <c r="DT245" s="181"/>
      <c r="DU245" s="181"/>
      <c r="DV245" s="181"/>
      <c r="DW245" s="181"/>
      <c r="DX245" s="181"/>
      <c r="DY245" s="181"/>
      <c r="DZ245" s="181"/>
      <c r="EA245" s="181"/>
      <c r="EB245" s="181"/>
      <c r="EC245" s="181"/>
      <c r="ED245" s="181"/>
      <c r="EE245" s="181"/>
      <c r="EF245" s="181"/>
      <c r="EG245" s="181">
        <f>EH245</f>
        <v>805000</v>
      </c>
      <c r="EH245" s="181">
        <f>EH246+EH247+EH248</f>
        <v>805000</v>
      </c>
      <c r="EI245" s="181"/>
      <c r="EJ245" s="181"/>
      <c r="EK245" s="181">
        <f>EL245</f>
        <v>0</v>
      </c>
      <c r="EL245" s="181">
        <f>SUM(EL246:EL248)</f>
        <v>0</v>
      </c>
      <c r="EM245" s="181"/>
      <c r="EN245" s="181"/>
      <c r="EO245" s="181"/>
      <c r="EP245" s="181"/>
      <c r="EQ245" s="181"/>
      <c r="ER245" s="181"/>
      <c r="ES245" s="181">
        <f>ET245</f>
        <v>0</v>
      </c>
      <c r="ET245" s="181">
        <f>SUM(ET246:ET248)</f>
        <v>0</v>
      </c>
      <c r="EU245" s="181"/>
      <c r="EV245" s="181"/>
      <c r="EW245" s="181"/>
      <c r="EX245" s="181"/>
      <c r="EY245" s="181"/>
      <c r="EZ245" s="181"/>
      <c r="FA245" s="181"/>
      <c r="FB245" s="181"/>
      <c r="FC245" s="180">
        <f>FD245</f>
        <v>1682125.1980400002</v>
      </c>
      <c r="FD245" s="180">
        <f>FD249+FD256</f>
        <v>1682125.1980400002</v>
      </c>
      <c r="FE245" s="180">
        <f>FE249+FE256</f>
        <v>0</v>
      </c>
      <c r="FF245" s="180">
        <f>FF249+FF256</f>
        <v>0</v>
      </c>
      <c r="FG245" s="180">
        <f>FH245</f>
        <v>0</v>
      </c>
      <c r="FH245" s="104">
        <f>SUM(FH246:FH248)</f>
        <v>0</v>
      </c>
      <c r="FI245" s="180"/>
      <c r="FJ245" s="180"/>
      <c r="FK245" s="180"/>
      <c r="FL245" s="180"/>
      <c r="FM245" s="180"/>
      <c r="FN245" s="180"/>
      <c r="FO245" s="180">
        <f>FP245</f>
        <v>893376.11600000004</v>
      </c>
      <c r="FP245" s="180">
        <f>FP246+FP247+FP248</f>
        <v>893376.11600000004</v>
      </c>
      <c r="FQ245" s="180"/>
      <c r="FR245" s="180"/>
      <c r="FS245" s="629">
        <f>FU245+FW245+FY245</f>
        <v>1483010.3930699998</v>
      </c>
      <c r="FT245" s="595">
        <f t="shared" si="506"/>
        <v>0.8816290219051427</v>
      </c>
      <c r="FU245" s="629">
        <f>FU249+FU255</f>
        <v>1483010.3930699998</v>
      </c>
      <c r="FV245" s="595">
        <f t="shared" si="507"/>
        <v>0.8816290219051427</v>
      </c>
      <c r="FW245" s="522"/>
      <c r="FX245" s="666"/>
      <c r="FY245" s="522"/>
      <c r="FZ245" s="666"/>
      <c r="GA245" s="629">
        <f>GC245+GE245+GG245</f>
        <v>1429459.9830699998</v>
      </c>
      <c r="GB245" s="595">
        <f t="shared" si="568"/>
        <v>0.84979404906103073</v>
      </c>
      <c r="GC245" s="629">
        <f>GC249+GC256</f>
        <v>1429459.9830699998</v>
      </c>
      <c r="GD245" s="595">
        <f t="shared" si="569"/>
        <v>0.84979404906103073</v>
      </c>
      <c r="GE245" s="181">
        <f>GE249+GE256</f>
        <v>0</v>
      </c>
      <c r="GF245" s="514"/>
      <c r="GG245" s="181">
        <f>GG249+GG256</f>
        <v>0</v>
      </c>
      <c r="GH245" s="514"/>
      <c r="GI245" s="629">
        <f>GK245+GM245+GO245</f>
        <v>1651156.7107599997</v>
      </c>
      <c r="GJ245" s="595">
        <f t="shared" si="471"/>
        <v>0.98158966567049544</v>
      </c>
      <c r="GK245" s="629">
        <f>GK249+GK256</f>
        <v>1651156.7107599997</v>
      </c>
      <c r="GL245" s="595">
        <f t="shared" si="472"/>
        <v>0.98158966567049544</v>
      </c>
      <c r="GM245" s="629">
        <v>0</v>
      </c>
      <c r="GN245" s="595">
        <v>0</v>
      </c>
      <c r="GO245" s="629">
        <v>0</v>
      </c>
      <c r="GP245" s="595">
        <v>0</v>
      </c>
      <c r="GQ245" s="181"/>
      <c r="GR245" s="181"/>
      <c r="GS245" s="181"/>
      <c r="GT245" s="181"/>
      <c r="GU245" s="181">
        <f t="shared" si="570"/>
        <v>788000</v>
      </c>
      <c r="GV245" s="181">
        <f>GV246+GV247+GV248</f>
        <v>788000</v>
      </c>
      <c r="GW245" s="181"/>
      <c r="GX245" s="181"/>
      <c r="GY245" s="181"/>
      <c r="GZ245" s="181"/>
      <c r="HA245" s="181"/>
      <c r="HB245" s="181"/>
      <c r="HC245" s="181"/>
      <c r="HD245" s="181"/>
      <c r="HE245" s="181"/>
      <c r="HF245" s="181"/>
      <c r="HG245" s="181">
        <f t="shared" si="571"/>
        <v>0</v>
      </c>
      <c r="HH245" s="181">
        <v>0</v>
      </c>
      <c r="HI245" s="181"/>
      <c r="HJ245" s="181"/>
      <c r="HK245" s="181"/>
      <c r="HL245" s="181"/>
      <c r="HM245" s="181"/>
      <c r="HN245" s="181"/>
      <c r="HO245" s="181">
        <f t="shared" si="573"/>
        <v>788000</v>
      </c>
      <c r="HP245" s="181">
        <f>HP246+HP247+HP248</f>
        <v>788000</v>
      </c>
      <c r="HQ245" s="181"/>
      <c r="HR245" s="181"/>
      <c r="HS245" s="181">
        <f t="shared" si="574"/>
        <v>571000</v>
      </c>
      <c r="HT245" s="181">
        <f>SUM(HT246:HT248)</f>
        <v>571000</v>
      </c>
      <c r="HU245" s="181"/>
      <c r="HV245" s="181"/>
      <c r="HW245" s="181"/>
      <c r="HX245" s="181"/>
      <c r="HY245" s="181"/>
      <c r="HZ245" s="181"/>
      <c r="IA245" s="181">
        <f t="shared" si="576"/>
        <v>899970</v>
      </c>
      <c r="IB245" s="181">
        <f>SUM(IB246:IB248)</f>
        <v>899970</v>
      </c>
      <c r="IC245" s="181"/>
      <c r="ID245" s="181"/>
      <c r="IE245" s="169"/>
      <c r="IF245" s="183"/>
      <c r="IG245" s="183"/>
      <c r="IH245" s="183"/>
    </row>
    <row r="246" spans="2:242" s="127" customFormat="1" ht="46.5" customHeight="1" x14ac:dyDescent="0.25">
      <c r="B246" s="115"/>
      <c r="C246" s="116" t="s">
        <v>132</v>
      </c>
      <c r="D246" s="117"/>
      <c r="E246" s="118"/>
      <c r="F246" s="118"/>
      <c r="G246" s="118"/>
      <c r="H246" s="118"/>
      <c r="I246" s="118"/>
      <c r="J246" s="118"/>
      <c r="K246" s="118"/>
      <c r="L246" s="118"/>
      <c r="M246" s="118"/>
      <c r="N246" s="118"/>
      <c r="O246" s="118"/>
      <c r="P246" s="118"/>
      <c r="Q246" s="119"/>
      <c r="R246" s="119"/>
      <c r="S246" s="119"/>
      <c r="T246" s="119"/>
      <c r="U246" s="119"/>
      <c r="V246" s="119"/>
      <c r="W246" s="119"/>
      <c r="X246" s="119"/>
      <c r="Y246" s="119"/>
      <c r="Z246" s="119"/>
      <c r="AA246" s="119"/>
      <c r="AB246" s="119"/>
      <c r="AC246" s="119"/>
      <c r="AD246" s="119"/>
      <c r="AE246" s="119"/>
      <c r="AF246" s="119"/>
      <c r="AG246" s="119"/>
      <c r="AH246" s="119"/>
      <c r="AI246" s="120"/>
      <c r="AJ246" s="119"/>
      <c r="AK246" s="119"/>
      <c r="AL246" s="119"/>
      <c r="AM246" s="758"/>
      <c r="AN246" s="119"/>
      <c r="AO246" s="122"/>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23"/>
      <c r="BL246" s="124"/>
      <c r="BM246" s="124"/>
      <c r="BN246" s="124"/>
      <c r="BO246" s="124"/>
      <c r="BP246" s="124"/>
      <c r="BQ246" s="124"/>
      <c r="BR246" s="124"/>
      <c r="BS246" s="124"/>
      <c r="BT246" s="124"/>
      <c r="BU246" s="124"/>
      <c r="BV246" s="119"/>
      <c r="BW246" s="119"/>
      <c r="BX246" s="119"/>
      <c r="BY246" s="119"/>
      <c r="BZ246" s="119"/>
      <c r="CA246" s="119"/>
      <c r="CB246" s="119"/>
      <c r="CC246" s="119"/>
      <c r="CD246" s="119"/>
      <c r="CE246" s="124"/>
      <c r="CF246" s="124"/>
      <c r="CG246" s="119"/>
      <c r="CH246" s="119"/>
      <c r="CI246" s="119"/>
      <c r="CJ246" s="119"/>
      <c r="CK246" s="119"/>
      <c r="CL246" s="119"/>
      <c r="CM246" s="119"/>
      <c r="CN246" s="119"/>
      <c r="CO246" s="119"/>
      <c r="CP246" s="119"/>
      <c r="CQ246" s="119"/>
      <c r="CR246" s="119"/>
      <c r="CS246" s="119"/>
      <c r="CT246" s="119"/>
      <c r="CU246" s="119"/>
      <c r="CV246" s="119"/>
      <c r="CW246" s="119"/>
      <c r="CX246" s="119"/>
      <c r="CY246" s="119"/>
      <c r="CZ246" s="119"/>
      <c r="DA246" s="119"/>
      <c r="DB246" s="119"/>
      <c r="DC246" s="119"/>
      <c r="DD246" s="119"/>
      <c r="DE246" s="119"/>
      <c r="DF246" s="119"/>
      <c r="DG246" s="119"/>
      <c r="DH246" s="119"/>
      <c r="DI246" s="119"/>
      <c r="DJ246" s="119"/>
      <c r="DK246" s="119"/>
      <c r="DL246" s="119"/>
      <c r="DM246" s="119"/>
      <c r="DN246" s="119"/>
      <c r="DO246" s="119"/>
      <c r="DP246" s="119"/>
      <c r="DQ246" s="119"/>
      <c r="DR246" s="119"/>
      <c r="DS246" s="119"/>
      <c r="DT246" s="119"/>
      <c r="DU246" s="119"/>
      <c r="DV246" s="119"/>
      <c r="DW246" s="119"/>
      <c r="DX246" s="119"/>
      <c r="DY246" s="119"/>
      <c r="DZ246" s="119"/>
      <c r="EA246" s="119"/>
      <c r="EB246" s="119"/>
      <c r="EC246" s="119"/>
      <c r="ED246" s="119"/>
      <c r="EE246" s="119"/>
      <c r="EF246" s="119"/>
      <c r="EG246" s="119">
        <f>EH246+EI246+EJ246</f>
        <v>805000</v>
      </c>
      <c r="EH246" s="119">
        <f>EH66</f>
        <v>805000</v>
      </c>
      <c r="EI246" s="119">
        <f>EI66</f>
        <v>0</v>
      </c>
      <c r="EJ246" s="119">
        <f>EJ66</f>
        <v>0</v>
      </c>
      <c r="EK246" s="119">
        <f>EL246+EM246+EN246</f>
        <v>0</v>
      </c>
      <c r="EL246" s="119">
        <f>EL66</f>
        <v>0</v>
      </c>
      <c r="EM246" s="119">
        <f>EM66</f>
        <v>0</v>
      </c>
      <c r="EN246" s="119">
        <f>EN66</f>
        <v>0</v>
      </c>
      <c r="EO246" s="119"/>
      <c r="EP246" s="119"/>
      <c r="EQ246" s="119"/>
      <c r="ER246" s="119"/>
      <c r="ES246" s="119">
        <f>ET246+EU246+EV246</f>
        <v>0</v>
      </c>
      <c r="ET246" s="119">
        <f>ET66</f>
        <v>0</v>
      </c>
      <c r="EU246" s="119">
        <f>EU66</f>
        <v>0</v>
      </c>
      <c r="EV246" s="119">
        <f>EV66</f>
        <v>0</v>
      </c>
      <c r="EW246" s="119"/>
      <c r="EX246" s="119"/>
      <c r="EY246" s="119"/>
      <c r="EZ246" s="119"/>
      <c r="FA246" s="119"/>
      <c r="FB246" s="119"/>
      <c r="FC246" s="118">
        <f>FD246+FE246+FF246</f>
        <v>500000</v>
      </c>
      <c r="FD246" s="118">
        <f>FD248+FD254</f>
        <v>446688.05800000002</v>
      </c>
      <c r="FE246" s="118">
        <f>FE248+FE254</f>
        <v>0</v>
      </c>
      <c r="FF246" s="118">
        <f>FF248+FF254</f>
        <v>53311.942000000003</v>
      </c>
      <c r="FG246" s="118">
        <f t="shared" ref="FG246:FZ246" si="577">FG248+FG254</f>
        <v>0</v>
      </c>
      <c r="FH246" s="118">
        <f t="shared" si="577"/>
        <v>0</v>
      </c>
      <c r="FI246" s="118">
        <f t="shared" si="577"/>
        <v>0</v>
      </c>
      <c r="FJ246" s="118">
        <f t="shared" si="577"/>
        <v>53311.942000000003</v>
      </c>
      <c r="FK246" s="118">
        <f t="shared" si="577"/>
        <v>0</v>
      </c>
      <c r="FL246" s="118">
        <f t="shared" si="577"/>
        <v>0</v>
      </c>
      <c r="FM246" s="118">
        <f t="shared" si="577"/>
        <v>0</v>
      </c>
      <c r="FN246" s="118">
        <f t="shared" si="577"/>
        <v>0</v>
      </c>
      <c r="FO246" s="118">
        <f t="shared" si="577"/>
        <v>500000</v>
      </c>
      <c r="FP246" s="118">
        <f t="shared" si="577"/>
        <v>446688.05800000002</v>
      </c>
      <c r="FQ246" s="118">
        <f t="shared" si="577"/>
        <v>0</v>
      </c>
      <c r="FR246" s="118">
        <f t="shared" si="577"/>
        <v>53311.942000000003</v>
      </c>
      <c r="FS246" s="118">
        <f t="shared" si="577"/>
        <v>446688.05800000002</v>
      </c>
      <c r="FT246" s="487">
        <f t="shared" si="506"/>
        <v>0.893376116</v>
      </c>
      <c r="FU246" s="118">
        <f>FU248</f>
        <v>446688.05800000002</v>
      </c>
      <c r="FV246" s="487">
        <f t="shared" si="507"/>
        <v>1</v>
      </c>
      <c r="FW246" s="119">
        <f t="shared" si="577"/>
        <v>0</v>
      </c>
      <c r="FX246" s="119">
        <f t="shared" si="577"/>
        <v>0</v>
      </c>
      <c r="FY246" s="119">
        <f t="shared" si="577"/>
        <v>0</v>
      </c>
      <c r="FZ246" s="119">
        <f t="shared" si="577"/>
        <v>0</v>
      </c>
      <c r="GA246" s="118">
        <f>GC246+GE246+GG246</f>
        <v>446688.05800000002</v>
      </c>
      <c r="GB246" s="487">
        <f>GA246/FC246</f>
        <v>0.893376116</v>
      </c>
      <c r="GC246" s="118">
        <f>GC248+GC254</f>
        <v>446688.05800000002</v>
      </c>
      <c r="GD246" s="487">
        <f>GC246/FD246</f>
        <v>1</v>
      </c>
      <c r="GE246" s="119">
        <f>GE248+GE254</f>
        <v>0</v>
      </c>
      <c r="GF246" s="513"/>
      <c r="GG246" s="119">
        <f>GG248+GG254</f>
        <v>0</v>
      </c>
      <c r="GH246" s="513">
        <v>0</v>
      </c>
      <c r="GI246" s="118">
        <f>GK246+GM246+GO246</f>
        <v>497281.53700000001</v>
      </c>
      <c r="GJ246" s="487">
        <f t="shared" si="471"/>
        <v>0.99456307399999999</v>
      </c>
      <c r="GK246" s="118">
        <f>GK248+GK254</f>
        <v>446688.05800000002</v>
      </c>
      <c r="GL246" s="487">
        <f t="shared" si="472"/>
        <v>1</v>
      </c>
      <c r="GM246" s="118">
        <f>GM66</f>
        <v>0</v>
      </c>
      <c r="GN246" s="487">
        <v>0</v>
      </c>
      <c r="GO246" s="118">
        <f>GO254</f>
        <v>50593.478999999999</v>
      </c>
      <c r="GP246" s="487">
        <f t="shared" ref="GP246" si="578">GO246/FF246</f>
        <v>0.94900836664325594</v>
      </c>
      <c r="GQ246" s="119"/>
      <c r="GR246" s="119"/>
      <c r="GS246" s="119"/>
      <c r="GT246" s="119"/>
      <c r="GU246" s="119">
        <f>GV246+GW246+GX246</f>
        <v>788000</v>
      </c>
      <c r="GV246" s="119">
        <f>GV66</f>
        <v>788000</v>
      </c>
      <c r="GW246" s="119">
        <f>GW66</f>
        <v>0</v>
      </c>
      <c r="GX246" s="119">
        <f>GX66</f>
        <v>0</v>
      </c>
      <c r="GY246" s="119"/>
      <c r="GZ246" s="119"/>
      <c r="HA246" s="119"/>
      <c r="HB246" s="119"/>
      <c r="HC246" s="119"/>
      <c r="HD246" s="119"/>
      <c r="HE246" s="119"/>
      <c r="HF246" s="119"/>
      <c r="HG246" s="119">
        <f>HH246+HI246+HJ246</f>
        <v>0</v>
      </c>
      <c r="HH246" s="119">
        <f>HH66</f>
        <v>0</v>
      </c>
      <c r="HI246" s="119">
        <f>HI66</f>
        <v>0</v>
      </c>
      <c r="HJ246" s="119">
        <f>HJ66</f>
        <v>0</v>
      </c>
      <c r="HK246" s="119">
        <v>0</v>
      </c>
      <c r="HL246" s="119">
        <v>0</v>
      </c>
      <c r="HM246" s="119">
        <v>0</v>
      </c>
      <c r="HN246" s="119">
        <v>0</v>
      </c>
      <c r="HO246" s="119">
        <f>HP246+HQ246+HR246</f>
        <v>788000</v>
      </c>
      <c r="HP246" s="119">
        <f>HP66</f>
        <v>788000</v>
      </c>
      <c r="HQ246" s="119">
        <f>HQ66</f>
        <v>0</v>
      </c>
      <c r="HR246" s="119">
        <f>HR66</f>
        <v>0</v>
      </c>
      <c r="HS246" s="119">
        <f>HT246+HU246+HV246</f>
        <v>571000</v>
      </c>
      <c r="HT246" s="119">
        <f>HT66</f>
        <v>571000</v>
      </c>
      <c r="HU246" s="119">
        <f>HU66</f>
        <v>0</v>
      </c>
      <c r="HV246" s="119">
        <f>HV66</f>
        <v>0</v>
      </c>
      <c r="HW246" s="272">
        <f>HX246+HY246+HZ246</f>
        <v>0</v>
      </c>
      <c r="HX246" s="119">
        <f>HX66</f>
        <v>0</v>
      </c>
      <c r="HY246" s="119">
        <f>HY66</f>
        <v>0</v>
      </c>
      <c r="HZ246" s="119">
        <f>HZ66</f>
        <v>0</v>
      </c>
      <c r="IA246" s="119">
        <f>IB246+IC246+ID246</f>
        <v>899970</v>
      </c>
      <c r="IB246" s="119">
        <f>IB66</f>
        <v>899970</v>
      </c>
      <c r="IC246" s="119">
        <f>IC66</f>
        <v>0</v>
      </c>
      <c r="ID246" s="119">
        <f>ID66</f>
        <v>0</v>
      </c>
      <c r="IE246" s="125"/>
      <c r="IF246" s="126"/>
      <c r="IG246" s="126"/>
      <c r="IH246" s="126"/>
    </row>
    <row r="247" spans="2:242" s="652" customFormat="1" ht="112.5" customHeight="1" x14ac:dyDescent="0.25">
      <c r="B247" s="149" t="s">
        <v>107</v>
      </c>
      <c r="C247" s="107" t="s">
        <v>334</v>
      </c>
      <c r="D247" s="107"/>
      <c r="E247" s="651"/>
      <c r="F247" s="651"/>
      <c r="G247" s="651"/>
      <c r="H247" s="651"/>
      <c r="I247" s="651"/>
      <c r="J247" s="651"/>
      <c r="K247" s="651"/>
      <c r="L247" s="651"/>
      <c r="M247" s="651"/>
      <c r="N247" s="651"/>
      <c r="O247" s="651"/>
      <c r="P247" s="651"/>
      <c r="Q247" s="651"/>
      <c r="R247" s="651"/>
      <c r="S247" s="651"/>
      <c r="T247" s="651"/>
      <c r="U247" s="651"/>
      <c r="V247" s="651"/>
      <c r="W247" s="651"/>
      <c r="X247" s="651"/>
      <c r="Y247" s="651"/>
      <c r="Z247" s="651"/>
      <c r="AA247" s="651"/>
      <c r="AB247" s="651"/>
      <c r="AC247" s="651"/>
      <c r="AD247" s="651"/>
      <c r="AE247" s="651"/>
      <c r="AF247" s="651"/>
      <c r="AG247" s="651"/>
      <c r="AH247" s="651"/>
      <c r="AI247" s="651"/>
      <c r="AJ247" s="651"/>
      <c r="AK247" s="268"/>
      <c r="AL247" s="268"/>
      <c r="AM247" s="758"/>
      <c r="AN247" s="269"/>
      <c r="AO247" s="192"/>
      <c r="AP247" s="154"/>
      <c r="AQ247" s="154"/>
      <c r="AR247" s="154"/>
      <c r="AS247" s="651"/>
      <c r="AT247" s="651"/>
      <c r="AU247" s="651"/>
      <c r="AV247" s="651"/>
      <c r="AW247" s="651"/>
      <c r="AX247" s="651"/>
      <c r="AY247" s="651"/>
      <c r="AZ247" s="651"/>
      <c r="BA247" s="651"/>
      <c r="BB247" s="651"/>
      <c r="BC247" s="651"/>
      <c r="BD247" s="651"/>
      <c r="BE247" s="651"/>
      <c r="BF247" s="651"/>
      <c r="BG247" s="651"/>
      <c r="BH247" s="651"/>
      <c r="BI247" s="651"/>
      <c r="BJ247" s="651"/>
      <c r="BK247" s="192"/>
      <c r="BL247" s="651"/>
      <c r="BM247" s="651"/>
      <c r="BN247" s="651"/>
      <c r="BO247" s="651"/>
      <c r="BP247" s="651"/>
      <c r="BQ247" s="651"/>
      <c r="BR247" s="651"/>
      <c r="BS247" s="651"/>
      <c r="BT247" s="651"/>
      <c r="BU247" s="651"/>
      <c r="BV247" s="651"/>
      <c r="BW247" s="651"/>
      <c r="BX247" s="651"/>
      <c r="BY247" s="651"/>
      <c r="BZ247" s="651"/>
      <c r="CA247" s="651"/>
      <c r="CB247" s="651"/>
      <c r="CC247" s="651"/>
      <c r="CD247" s="651"/>
      <c r="CE247" s="192"/>
      <c r="CF247" s="651"/>
      <c r="CG247" s="107"/>
      <c r="CH247" s="651"/>
      <c r="CI247" s="651"/>
      <c r="CJ247" s="651"/>
      <c r="CK247" s="651"/>
      <c r="CL247" s="651"/>
      <c r="CM247" s="651"/>
      <c r="CN247" s="192"/>
      <c r="CO247" s="192"/>
      <c r="CP247" s="192"/>
      <c r="CQ247" s="651"/>
      <c r="CR247" s="651"/>
      <c r="CS247" s="651"/>
      <c r="CT247" s="651"/>
      <c r="CU247" s="651"/>
      <c r="CV247" s="651"/>
      <c r="CW247" s="651"/>
      <c r="CX247" s="651"/>
      <c r="CY247" s="651"/>
      <c r="CZ247" s="651"/>
      <c r="DA247" s="651"/>
      <c r="DB247" s="651"/>
      <c r="DC247" s="651"/>
      <c r="DD247" s="651"/>
      <c r="DE247" s="651"/>
      <c r="DF247" s="651"/>
      <c r="DG247" s="651"/>
      <c r="DH247" s="651"/>
      <c r="DI247" s="651"/>
      <c r="DJ247" s="651"/>
      <c r="DK247" s="651"/>
      <c r="DL247" s="651"/>
      <c r="DM247" s="651"/>
      <c r="DN247" s="651"/>
      <c r="DO247" s="651"/>
      <c r="DP247" s="651"/>
      <c r="DQ247" s="651"/>
      <c r="DR247" s="651"/>
      <c r="DS247" s="651"/>
      <c r="DT247" s="651"/>
      <c r="DU247" s="651"/>
      <c r="DV247" s="651"/>
      <c r="DW247" s="651"/>
      <c r="DX247" s="651"/>
      <c r="DY247" s="651"/>
      <c r="DZ247" s="651"/>
      <c r="EA247" s="651"/>
      <c r="EB247" s="651"/>
      <c r="EC247" s="651"/>
      <c r="ED247" s="651"/>
      <c r="EE247" s="651"/>
      <c r="EF247" s="651"/>
      <c r="EG247" s="192"/>
      <c r="EH247" s="192"/>
      <c r="EI247" s="192"/>
      <c r="EJ247" s="651"/>
      <c r="EK247" s="192"/>
      <c r="EL247" s="192"/>
      <c r="EM247" s="192"/>
      <c r="EN247" s="192"/>
      <c r="EO247" s="192"/>
      <c r="EP247" s="192"/>
      <c r="EQ247" s="192"/>
      <c r="ER247" s="192"/>
      <c r="ES247" s="192"/>
      <c r="ET247" s="192"/>
      <c r="EU247" s="651"/>
      <c r="EV247" s="651"/>
      <c r="EW247" s="651"/>
      <c r="EX247" s="651"/>
      <c r="EY247" s="651"/>
      <c r="EZ247" s="651"/>
      <c r="FA247" s="651"/>
      <c r="FB247" s="651"/>
      <c r="FC247" s="201">
        <f>FD247+FE247+FF247</f>
        <v>1779345.75795</v>
      </c>
      <c r="FD247" s="201">
        <f>FD248+FD249</f>
        <v>1779345.75795</v>
      </c>
      <c r="FE247" s="201"/>
      <c r="FF247" s="201"/>
      <c r="FG247" s="201"/>
      <c r="FH247" s="201"/>
      <c r="FI247" s="201"/>
      <c r="FJ247" s="152"/>
      <c r="FK247" s="201"/>
      <c r="FL247" s="201"/>
      <c r="FM247" s="201"/>
      <c r="FN247" s="201"/>
      <c r="FO247" s="201"/>
      <c r="FP247" s="201"/>
      <c r="FQ247" s="201"/>
      <c r="FR247" s="152"/>
      <c r="FS247" s="152">
        <f>FU247</f>
        <v>1748377.2706699998</v>
      </c>
      <c r="FT247" s="579">
        <f t="shared" si="506"/>
        <v>0.98259557641249029</v>
      </c>
      <c r="FU247" s="152">
        <f>FU248+FU249</f>
        <v>1748377.2706699998</v>
      </c>
      <c r="FV247" s="579">
        <f t="shared" si="507"/>
        <v>0.98259557641249029</v>
      </c>
      <c r="FW247" s="192"/>
      <c r="FX247" s="658"/>
      <c r="FY247" s="192"/>
      <c r="FZ247" s="658"/>
      <c r="GA247" s="152">
        <f t="shared" si="567"/>
        <v>1748377.2706699998</v>
      </c>
      <c r="GB247" s="579">
        <f t="shared" si="568"/>
        <v>0.98259557641249029</v>
      </c>
      <c r="GC247" s="152">
        <f>GC248+GC249</f>
        <v>1748377.2706699998</v>
      </c>
      <c r="GD247" s="579">
        <f t="shared" si="569"/>
        <v>0.98259557641249029</v>
      </c>
      <c r="GE247" s="192"/>
      <c r="GF247" s="651"/>
      <c r="GG247" s="192"/>
      <c r="GH247" s="651"/>
      <c r="GI247" s="152">
        <f>GK247</f>
        <v>1748377.2706699998</v>
      </c>
      <c r="GJ247" s="579">
        <f t="shared" si="471"/>
        <v>0.98259557641249029</v>
      </c>
      <c r="GK247" s="201">
        <f>GK248+GK249</f>
        <v>1748377.2706699998</v>
      </c>
      <c r="GL247" s="579">
        <f t="shared" si="472"/>
        <v>0.98259557641249029</v>
      </c>
      <c r="GM247" s="201">
        <v>0</v>
      </c>
      <c r="GN247" s="579">
        <v>0</v>
      </c>
      <c r="GO247" s="201">
        <v>0</v>
      </c>
      <c r="GP247" s="579">
        <v>0</v>
      </c>
      <c r="GQ247" s="651"/>
      <c r="GR247" s="651"/>
      <c r="GS247" s="651"/>
      <c r="GT247" s="651"/>
      <c r="GU247" s="192"/>
      <c r="GV247" s="192"/>
      <c r="GW247" s="192"/>
      <c r="GX247" s="651"/>
      <c r="GY247" s="651"/>
      <c r="GZ247" s="651"/>
      <c r="HA247" s="651"/>
      <c r="HB247" s="651"/>
      <c r="HC247" s="651"/>
      <c r="HD247" s="651"/>
      <c r="HE247" s="651"/>
      <c r="HF247" s="651"/>
      <c r="HG247" s="192"/>
      <c r="HH247" s="192"/>
      <c r="HI247" s="192"/>
      <c r="HJ247" s="651"/>
      <c r="HK247" s="192"/>
      <c r="HL247" s="192"/>
      <c r="HM247" s="192"/>
      <c r="HN247" s="651"/>
      <c r="HO247" s="192"/>
      <c r="HP247" s="192"/>
      <c r="HQ247" s="192"/>
      <c r="HR247" s="651"/>
      <c r="HS247" s="192"/>
      <c r="HT247" s="192"/>
      <c r="HU247" s="192"/>
      <c r="HV247" s="651"/>
      <c r="HW247" s="192"/>
      <c r="HX247" s="192"/>
      <c r="HY247" s="192"/>
      <c r="HZ247" s="651"/>
      <c r="IA247" s="192"/>
      <c r="IB247" s="192"/>
      <c r="IC247" s="192"/>
      <c r="ID247" s="651"/>
      <c r="IE247" s="653"/>
      <c r="IF247" s="654"/>
      <c r="IG247" s="654"/>
      <c r="IH247" s="654"/>
    </row>
    <row r="248" spans="2:242" s="276" customFormat="1" ht="54.75" customHeight="1" x14ac:dyDescent="0.3">
      <c r="B248" s="115"/>
      <c r="C248" s="116" t="s">
        <v>513</v>
      </c>
      <c r="D248" s="271" t="s">
        <v>324</v>
      </c>
      <c r="E248" s="119">
        <f>F248+G248</f>
        <v>1587746.40555</v>
      </c>
      <c r="F248" s="119">
        <v>1517375.34142</v>
      </c>
      <c r="G248" s="119">
        <v>70371.064129999999</v>
      </c>
      <c r="H248" s="119">
        <f>I248+J248</f>
        <v>15933.507459999993</v>
      </c>
      <c r="I248" s="119">
        <f>L248-F248</f>
        <v>15933.507459999993</v>
      </c>
      <c r="J248" s="119">
        <f>M248-G248</f>
        <v>0</v>
      </c>
      <c r="K248" s="119">
        <f>L248+M248</f>
        <v>1603679.91301</v>
      </c>
      <c r="L248" s="119">
        <v>1533308.8488799999</v>
      </c>
      <c r="M248" s="119">
        <v>70371.064129999999</v>
      </c>
      <c r="N248" s="119">
        <f>O248+P248</f>
        <v>0</v>
      </c>
      <c r="O248" s="119">
        <f>R248-L248</f>
        <v>0</v>
      </c>
      <c r="P248" s="119">
        <f>S248-M248</f>
        <v>0</v>
      </c>
      <c r="Q248" s="119">
        <f>R248+S248</f>
        <v>1603679.91301</v>
      </c>
      <c r="R248" s="119">
        <v>1533308.8488799999</v>
      </c>
      <c r="S248" s="119">
        <v>70371.064129999999</v>
      </c>
      <c r="T248" s="119">
        <f>U248+V248</f>
        <v>2371050.6324999998</v>
      </c>
      <c r="U248" s="119">
        <v>0</v>
      </c>
      <c r="V248" s="119">
        <v>2371050.6324999998</v>
      </c>
      <c r="W248" s="119">
        <f>X248+Y248</f>
        <v>-1600218.0767399999</v>
      </c>
      <c r="X248" s="119">
        <f>AA248-U248</f>
        <v>770832.55576000002</v>
      </c>
      <c r="Y248" s="119">
        <f>AB248-V248</f>
        <v>-2371050.6324999998</v>
      </c>
      <c r="Z248" s="119">
        <f>AA248+AB248</f>
        <v>770832.55576000002</v>
      </c>
      <c r="AA248" s="119">
        <v>770832.55576000002</v>
      </c>
      <c r="AB248" s="119"/>
      <c r="AC248" s="119">
        <f>AD248+AE248</f>
        <v>0</v>
      </c>
      <c r="AD248" s="119">
        <v>0</v>
      </c>
      <c r="AE248" s="119"/>
      <c r="AF248" s="119" t="e">
        <f>AG248+AH248</f>
        <v>#REF!</v>
      </c>
      <c r="AG248" s="119" t="e">
        <f>'[3]2017_с остатком на торги'!$AG$135</f>
        <v>#REF!</v>
      </c>
      <c r="AH248" s="119"/>
      <c r="AI248" s="119"/>
      <c r="AJ248" s="119">
        <v>866627.63382999995</v>
      </c>
      <c r="AK248" s="119">
        <f>Z248-AJ248</f>
        <v>-95795.07806999993</v>
      </c>
      <c r="AL248" s="119" t="e">
        <f>AF248-AJ248</f>
        <v>#REF!</v>
      </c>
      <c r="AM248" s="758"/>
      <c r="AN248" s="119"/>
      <c r="AO248" s="119">
        <v>1</v>
      </c>
      <c r="AP248" s="119">
        <v>687394.10190000001</v>
      </c>
      <c r="AQ248" s="119">
        <v>2263.4012400000001</v>
      </c>
      <c r="AR248" s="119" t="e">
        <f>AF248-AP248-AQ248</f>
        <v>#REF!</v>
      </c>
      <c r="AS248" s="119">
        <f>AT248+AU248</f>
        <v>2387144.5099999998</v>
      </c>
      <c r="AT248" s="119">
        <v>2387144.5099999998</v>
      </c>
      <c r="AU248" s="119"/>
      <c r="AV248" s="119">
        <f>AW248+AX248</f>
        <v>0</v>
      </c>
      <c r="AW248" s="119">
        <v>0</v>
      </c>
      <c r="AX248" s="119">
        <v>0</v>
      </c>
      <c r="AY248" s="119">
        <f>AZ248+BA248</f>
        <v>2387144.5099999998</v>
      </c>
      <c r="AZ248" s="119">
        <f>AT248</f>
        <v>2387144.5099999998</v>
      </c>
      <c r="BA248" s="119"/>
      <c r="BB248" s="119">
        <f>BC248+BD248</f>
        <v>2413209.1</v>
      </c>
      <c r="BC248" s="119">
        <f>2400000+13209.1</f>
        <v>2413209.1</v>
      </c>
      <c r="BD248" s="119"/>
      <c r="BE248" s="119">
        <f>BF248</f>
        <v>-700961.69599999976</v>
      </c>
      <c r="BF248" s="119">
        <f>BI248-AZ248</f>
        <v>-700961.69599999976</v>
      </c>
      <c r="BG248" s="119">
        <f>BX248-BD248</f>
        <v>0</v>
      </c>
      <c r="BH248" s="119">
        <f>BI248+BJ248</f>
        <v>1686182.814</v>
      </c>
      <c r="BI248" s="119">
        <v>1686182.814</v>
      </c>
      <c r="BJ248" s="119"/>
      <c r="BK248" s="119">
        <v>0.75</v>
      </c>
      <c r="BL248" s="272">
        <f>AZ248*BK248</f>
        <v>1790358.3824999998</v>
      </c>
      <c r="BM248" s="272"/>
      <c r="BN248" s="272"/>
      <c r="BO248" s="272"/>
      <c r="BP248" s="272">
        <f>BQ248+BR248</f>
        <v>0</v>
      </c>
      <c r="BQ248" s="272">
        <v>0</v>
      </c>
      <c r="BR248" s="272"/>
      <c r="BS248" s="272">
        <f>BT248+BU248</f>
        <v>1686182.814</v>
      </c>
      <c r="BT248" s="272">
        <f>BI248-BN248-BQ248</f>
        <v>1686182.814</v>
      </c>
      <c r="BU248" s="272"/>
      <c r="BV248" s="119">
        <f>BW248+BX248</f>
        <v>2413209.1</v>
      </c>
      <c r="BW248" s="119">
        <f>2400000+13209.1</f>
        <v>2413209.1</v>
      </c>
      <c r="BX248" s="119"/>
      <c r="BY248" s="119">
        <f>BZ248+CA248</f>
        <v>-832085.13936000003</v>
      </c>
      <c r="BZ248" s="119">
        <f>CC248-BI248</f>
        <v>-832085.13936000003</v>
      </c>
      <c r="CA248" s="119">
        <v>0</v>
      </c>
      <c r="CB248" s="119">
        <f>CC248+CD248</f>
        <v>854097.67463999998</v>
      </c>
      <c r="CC248" s="119">
        <v>854097.67463999998</v>
      </c>
      <c r="CD248" s="119"/>
      <c r="CE248" s="119">
        <v>0.5</v>
      </c>
      <c r="CF248" s="272">
        <f>CC248*CE248</f>
        <v>427048.83731999999</v>
      </c>
      <c r="CG248" s="119"/>
      <c r="CH248" s="119">
        <f>CI248+CJ248</f>
        <v>2391855.4205700001</v>
      </c>
      <c r="CI248" s="119">
        <v>2391855.4205700001</v>
      </c>
      <c r="CJ248" s="119"/>
      <c r="CK248" s="119">
        <f>CL248+CM248</f>
        <v>-836239.08000000007</v>
      </c>
      <c r="CL248" s="119">
        <f>CR248-CH248</f>
        <v>-836239.08000000007</v>
      </c>
      <c r="CM248" s="119">
        <v>0</v>
      </c>
      <c r="CN248" s="119" t="e">
        <f>#REF!+CN268</f>
        <v>#REF!</v>
      </c>
      <c r="CO248" s="119" t="e">
        <f>#REF!+CO268</f>
        <v>#REF!</v>
      </c>
      <c r="CP248" s="119" t="e">
        <f>#REF!+CP268</f>
        <v>#REF!</v>
      </c>
      <c r="CQ248" s="119">
        <f>CR248+CS248</f>
        <v>1555616.34057</v>
      </c>
      <c r="CR248" s="119">
        <v>1555616.34057</v>
      </c>
      <c r="CS248" s="119"/>
      <c r="CT248" s="119">
        <f>CU248+CV248</f>
        <v>-557780.27463999996</v>
      </c>
      <c r="CU248" s="119">
        <f>CX248-CC248</f>
        <v>-557780.27463999996</v>
      </c>
      <c r="CV248" s="119"/>
      <c r="CW248" s="119">
        <f>CX248</f>
        <v>296317.40000000002</v>
      </c>
      <c r="CX248" s="119">
        <v>296317.40000000002</v>
      </c>
      <c r="CY248" s="119"/>
      <c r="CZ248" s="119"/>
      <c r="DA248" s="119"/>
      <c r="DB248" s="119"/>
      <c r="DC248" s="119"/>
      <c r="DD248" s="119"/>
      <c r="DE248" s="119"/>
      <c r="DF248" s="119">
        <f>DG248</f>
        <v>0</v>
      </c>
      <c r="DG248" s="119">
        <v>0</v>
      </c>
      <c r="DH248" s="119"/>
      <c r="DI248" s="119">
        <f>DJ248</f>
        <v>296317.40000000002</v>
      </c>
      <c r="DJ248" s="119">
        <v>296317.40000000002</v>
      </c>
      <c r="DK248" s="119"/>
      <c r="DL248" s="119">
        <f>DM248</f>
        <v>0</v>
      </c>
      <c r="DM248" s="119">
        <v>0</v>
      </c>
      <c r="DN248" s="119"/>
      <c r="DO248" s="119">
        <f>DP248</f>
        <v>0</v>
      </c>
      <c r="DP248" s="119">
        <v>0</v>
      </c>
      <c r="DQ248" s="119"/>
      <c r="DR248" s="119">
        <f>DS248</f>
        <v>296317.40000000002</v>
      </c>
      <c r="DS248" s="119">
        <f>DJ248-DM248-DP248</f>
        <v>296317.40000000002</v>
      </c>
      <c r="DT248" s="119"/>
      <c r="DU248" s="119">
        <f>DV248</f>
        <v>0</v>
      </c>
      <c r="DV248" s="119">
        <v>0</v>
      </c>
      <c r="DW248" s="119"/>
      <c r="DX248" s="119"/>
      <c r="DY248" s="119"/>
      <c r="DZ248" s="119"/>
      <c r="EA248" s="119"/>
      <c r="EB248" s="119"/>
      <c r="EC248" s="119"/>
      <c r="ED248" s="119">
        <f t="shared" si="558"/>
        <v>0</v>
      </c>
      <c r="EE248" s="119">
        <v>0</v>
      </c>
      <c r="EF248" s="119"/>
      <c r="EG248" s="119">
        <f>EH248</f>
        <v>0</v>
      </c>
      <c r="EH248" s="119">
        <f>DX248+EA248</f>
        <v>0</v>
      </c>
      <c r="EI248" s="119"/>
      <c r="EJ248" s="119"/>
      <c r="EK248" s="119">
        <f>EL248-EH248</f>
        <v>0</v>
      </c>
      <c r="EL248" s="119"/>
      <c r="EM248" s="119"/>
      <c r="EN248" s="119"/>
      <c r="EO248" s="119">
        <f>EP248-EL248</f>
        <v>0</v>
      </c>
      <c r="EP248" s="119"/>
      <c r="EQ248" s="119"/>
      <c r="ER248" s="119"/>
      <c r="ES248" s="118">
        <f>ET248</f>
        <v>0</v>
      </c>
      <c r="ET248" s="119">
        <v>0</v>
      </c>
      <c r="EU248" s="119"/>
      <c r="EV248" s="119"/>
      <c r="EW248" s="119">
        <f>EX248</f>
        <v>0</v>
      </c>
      <c r="EX248" s="119">
        <v>0</v>
      </c>
      <c r="EY248" s="119"/>
      <c r="EZ248" s="119">
        <f t="shared" si="559"/>
        <v>0</v>
      </c>
      <c r="FA248" s="119">
        <v>0</v>
      </c>
      <c r="FB248" s="119"/>
      <c r="FC248" s="118">
        <f t="shared" si="565"/>
        <v>446688.05800000002</v>
      </c>
      <c r="FD248" s="118">
        <v>446688.05800000002</v>
      </c>
      <c r="FE248" s="118"/>
      <c r="FF248" s="118"/>
      <c r="FG248" s="118">
        <f>FH248</f>
        <v>0</v>
      </c>
      <c r="FH248" s="118">
        <f>FP248-FD248</f>
        <v>0</v>
      </c>
      <c r="FI248" s="118"/>
      <c r="FJ248" s="118"/>
      <c r="FK248" s="118">
        <f>FL248-FH248</f>
        <v>0</v>
      </c>
      <c r="FL248" s="118"/>
      <c r="FM248" s="118"/>
      <c r="FN248" s="118"/>
      <c r="FO248" s="118">
        <f t="shared" si="566"/>
        <v>446688.05800000002</v>
      </c>
      <c r="FP248" s="118">
        <v>446688.05800000002</v>
      </c>
      <c r="FQ248" s="118"/>
      <c r="FR248" s="118"/>
      <c r="FS248" s="118">
        <f t="shared" si="560"/>
        <v>446688.05800000002</v>
      </c>
      <c r="FT248" s="586">
        <f t="shared" si="506"/>
        <v>1</v>
      </c>
      <c r="FU248" s="118">
        <v>446688.05800000002</v>
      </c>
      <c r="FV248" s="586">
        <f t="shared" si="507"/>
        <v>1</v>
      </c>
      <c r="FW248" s="119"/>
      <c r="FX248" s="119"/>
      <c r="FY248" s="119"/>
      <c r="FZ248" s="119"/>
      <c r="GA248" s="118">
        <f t="shared" si="567"/>
        <v>446688.05800000002</v>
      </c>
      <c r="GB248" s="586">
        <f t="shared" si="568"/>
        <v>1</v>
      </c>
      <c r="GC248" s="118">
        <f>430781.29262+15906.76538</f>
        <v>446688.05800000002</v>
      </c>
      <c r="GD248" s="586">
        <f t="shared" si="569"/>
        <v>1</v>
      </c>
      <c r="GE248" s="119"/>
      <c r="GF248" s="119"/>
      <c r="GG248" s="118"/>
      <c r="GH248" s="119"/>
      <c r="GI248" s="118">
        <f t="shared" si="561"/>
        <v>446688.05800000002</v>
      </c>
      <c r="GJ248" s="586">
        <f t="shared" si="471"/>
        <v>1</v>
      </c>
      <c r="GK248" s="118">
        <v>446688.05800000002</v>
      </c>
      <c r="GL248" s="586">
        <f t="shared" si="472"/>
        <v>1</v>
      </c>
      <c r="GM248" s="118"/>
      <c r="GN248" s="586"/>
      <c r="GO248" s="118"/>
      <c r="GP248" s="586"/>
      <c r="GQ248" s="119"/>
      <c r="GR248" s="119"/>
      <c r="GS248" s="119"/>
      <c r="GT248" s="119"/>
      <c r="GU248" s="119">
        <f t="shared" si="570"/>
        <v>0</v>
      </c>
      <c r="GV248" s="119">
        <f>FJ248+FQ248</f>
        <v>0</v>
      </c>
      <c r="GW248" s="119"/>
      <c r="GX248" s="119"/>
      <c r="GY248" s="119"/>
      <c r="GZ248" s="119"/>
      <c r="HA248" s="119"/>
      <c r="HB248" s="119"/>
      <c r="HC248" s="119"/>
      <c r="HD248" s="119"/>
      <c r="HE248" s="119"/>
      <c r="HF248" s="119"/>
      <c r="HG248" s="119">
        <f t="shared" si="571"/>
        <v>0</v>
      </c>
      <c r="HH248" s="119">
        <f>HB248+HE248</f>
        <v>0</v>
      </c>
      <c r="HI248" s="119"/>
      <c r="HJ248" s="119"/>
      <c r="HK248" s="119">
        <f t="shared" si="572"/>
        <v>0</v>
      </c>
      <c r="HL248" s="119">
        <f>HF248+HI248</f>
        <v>0</v>
      </c>
      <c r="HM248" s="119"/>
      <c r="HN248" s="119"/>
      <c r="HO248" s="119">
        <f t="shared" si="573"/>
        <v>0</v>
      </c>
      <c r="HP248" s="119">
        <f>HF248+HI248</f>
        <v>0</v>
      </c>
      <c r="HQ248" s="119"/>
      <c r="HR248" s="119"/>
      <c r="HS248" s="119">
        <f t="shared" si="574"/>
        <v>0</v>
      </c>
      <c r="HT248" s="119">
        <f>HJ248+HQ248</f>
        <v>0</v>
      </c>
      <c r="HU248" s="119"/>
      <c r="HV248" s="119"/>
      <c r="HW248" s="119">
        <f t="shared" si="575"/>
        <v>0</v>
      </c>
      <c r="HX248" s="119">
        <f>HR248+HU248</f>
        <v>0</v>
      </c>
      <c r="HY248" s="119"/>
      <c r="HZ248" s="119"/>
      <c r="IA248" s="119">
        <f t="shared" si="576"/>
        <v>0</v>
      </c>
      <c r="IB248" s="119">
        <f>HR248+HY248</f>
        <v>0</v>
      </c>
      <c r="IC248" s="119"/>
      <c r="ID248" s="119"/>
      <c r="IE248" s="274"/>
      <c r="IF248" s="275"/>
      <c r="IG248" s="275"/>
      <c r="IH248" s="275"/>
    </row>
    <row r="249" spans="2:242" s="278" customFormat="1" ht="38.25" customHeight="1" x14ac:dyDescent="0.3">
      <c r="B249" s="178"/>
      <c r="C249" s="101" t="s">
        <v>131</v>
      </c>
      <c r="D249" s="273"/>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181"/>
      <c r="AI249" s="181"/>
      <c r="AJ249" s="181"/>
      <c r="AK249" s="181"/>
      <c r="AL249" s="181"/>
      <c r="AM249" s="521"/>
      <c r="AN249" s="181"/>
      <c r="AO249" s="181"/>
      <c r="AP249" s="181"/>
      <c r="AQ249" s="181"/>
      <c r="AR249" s="181"/>
      <c r="AS249" s="181"/>
      <c r="AT249" s="181"/>
      <c r="AU249" s="181"/>
      <c r="AV249" s="181"/>
      <c r="AW249" s="181"/>
      <c r="AX249" s="181"/>
      <c r="AY249" s="181"/>
      <c r="AZ249" s="181"/>
      <c r="BA249" s="181"/>
      <c r="BB249" s="181"/>
      <c r="BC249" s="181"/>
      <c r="BD249" s="181"/>
      <c r="BE249" s="181"/>
      <c r="BF249" s="181"/>
      <c r="BG249" s="181"/>
      <c r="BH249" s="181"/>
      <c r="BI249" s="181"/>
      <c r="BJ249" s="181"/>
      <c r="BK249" s="181"/>
      <c r="BL249" s="105"/>
      <c r="BM249" s="105"/>
      <c r="BN249" s="105"/>
      <c r="BO249" s="105"/>
      <c r="BP249" s="105"/>
      <c r="BQ249" s="105"/>
      <c r="BR249" s="105"/>
      <c r="BS249" s="105"/>
      <c r="BT249" s="105"/>
      <c r="BU249" s="105"/>
      <c r="BV249" s="181"/>
      <c r="BW249" s="181"/>
      <c r="BX249" s="181"/>
      <c r="BY249" s="181"/>
      <c r="BZ249" s="181"/>
      <c r="CA249" s="181"/>
      <c r="CB249" s="181"/>
      <c r="CC249" s="181"/>
      <c r="CD249" s="181"/>
      <c r="CE249" s="181"/>
      <c r="CF249" s="105"/>
      <c r="CG249" s="181"/>
      <c r="CH249" s="181"/>
      <c r="CI249" s="181"/>
      <c r="CJ249" s="181"/>
      <c r="CK249" s="181"/>
      <c r="CL249" s="181"/>
      <c r="CM249" s="181"/>
      <c r="CN249" s="181"/>
      <c r="CO249" s="181"/>
      <c r="CP249" s="181"/>
      <c r="CQ249" s="181"/>
      <c r="CR249" s="181"/>
      <c r="CS249" s="181"/>
      <c r="CT249" s="181"/>
      <c r="CU249" s="181"/>
      <c r="CV249" s="181"/>
      <c r="CW249" s="181"/>
      <c r="CX249" s="181"/>
      <c r="CY249" s="181"/>
      <c r="CZ249" s="181"/>
      <c r="DA249" s="181"/>
      <c r="DB249" s="181"/>
      <c r="DC249" s="181"/>
      <c r="DD249" s="181"/>
      <c r="DE249" s="181"/>
      <c r="DF249" s="181"/>
      <c r="DG249" s="181"/>
      <c r="DH249" s="181"/>
      <c r="DI249" s="181"/>
      <c r="DJ249" s="181"/>
      <c r="DK249" s="181"/>
      <c r="DL249" s="181"/>
      <c r="DM249" s="181"/>
      <c r="DN249" s="181"/>
      <c r="DO249" s="181"/>
      <c r="DP249" s="181"/>
      <c r="DQ249" s="181"/>
      <c r="DR249" s="181"/>
      <c r="DS249" s="181"/>
      <c r="DT249" s="181"/>
      <c r="DU249" s="181"/>
      <c r="DV249" s="181"/>
      <c r="DW249" s="181"/>
      <c r="DX249" s="181"/>
      <c r="DY249" s="181"/>
      <c r="DZ249" s="181"/>
      <c r="EA249" s="181"/>
      <c r="EB249" s="181"/>
      <c r="EC249" s="181"/>
      <c r="ED249" s="181"/>
      <c r="EE249" s="181"/>
      <c r="EF249" s="181"/>
      <c r="EG249" s="181"/>
      <c r="EH249" s="181"/>
      <c r="EI249" s="181"/>
      <c r="EJ249" s="181"/>
      <c r="EK249" s="181"/>
      <c r="EL249" s="181"/>
      <c r="EM249" s="181"/>
      <c r="EN249" s="181"/>
      <c r="EO249" s="181"/>
      <c r="EP249" s="181"/>
      <c r="EQ249" s="181"/>
      <c r="ER249" s="181"/>
      <c r="ES249" s="181"/>
      <c r="ET249" s="181"/>
      <c r="EU249" s="181"/>
      <c r="EV249" s="181"/>
      <c r="EW249" s="181"/>
      <c r="EX249" s="181"/>
      <c r="EY249" s="181"/>
      <c r="EZ249" s="181"/>
      <c r="FA249" s="181"/>
      <c r="FB249" s="181"/>
      <c r="FC249" s="180">
        <f>FD249</f>
        <v>1332657.69995</v>
      </c>
      <c r="FD249" s="180">
        <f>SUM(FD250:FD252)</f>
        <v>1332657.69995</v>
      </c>
      <c r="FE249" s="180"/>
      <c r="FF249" s="180"/>
      <c r="FG249" s="180">
        <f>FH249</f>
        <v>0</v>
      </c>
      <c r="FH249" s="180">
        <f>FH250+FH251</f>
        <v>0</v>
      </c>
      <c r="FI249" s="180"/>
      <c r="FJ249" s="180"/>
      <c r="FK249" s="180"/>
      <c r="FL249" s="180"/>
      <c r="FM249" s="180"/>
      <c r="FN249" s="180"/>
      <c r="FO249" s="180">
        <f>FP249</f>
        <v>1332657.69995</v>
      </c>
      <c r="FP249" s="180">
        <f>FP250+FP251</f>
        <v>1332657.69995</v>
      </c>
      <c r="FQ249" s="180"/>
      <c r="FR249" s="180"/>
      <c r="FS249" s="180">
        <f t="shared" si="560"/>
        <v>1301689.2126699998</v>
      </c>
      <c r="FT249" s="577">
        <f t="shared" si="506"/>
        <v>0.97676185919222758</v>
      </c>
      <c r="FU249" s="180">
        <f>FU250+FU251</f>
        <v>1301689.2126699998</v>
      </c>
      <c r="FV249" s="577">
        <f t="shared" si="507"/>
        <v>0.97676185919222758</v>
      </c>
      <c r="FW249" s="181"/>
      <c r="FX249" s="181"/>
      <c r="FY249" s="181"/>
      <c r="FZ249" s="181"/>
      <c r="GA249" s="180">
        <f t="shared" si="567"/>
        <v>1301689.2126699998</v>
      </c>
      <c r="GB249" s="577">
        <f t="shared" si="568"/>
        <v>0.97676185919222758</v>
      </c>
      <c r="GC249" s="180">
        <f>SUM(GC250:GC252)</f>
        <v>1301689.2126699998</v>
      </c>
      <c r="GD249" s="577">
        <f t="shared" si="569"/>
        <v>0.97676185919222758</v>
      </c>
      <c r="GE249" s="180"/>
      <c r="GF249" s="181"/>
      <c r="GG249" s="180"/>
      <c r="GH249" s="181"/>
      <c r="GI249" s="180">
        <f t="shared" si="561"/>
        <v>1301689.2126699998</v>
      </c>
      <c r="GJ249" s="577">
        <f t="shared" si="471"/>
        <v>0.97676185919222758</v>
      </c>
      <c r="GK249" s="180">
        <f>SUM(GK250:GK252)</f>
        <v>1301689.2126699998</v>
      </c>
      <c r="GL249" s="577">
        <f t="shared" si="472"/>
        <v>0.97676185919222758</v>
      </c>
      <c r="GM249" s="180"/>
      <c r="GN249" s="577"/>
      <c r="GO249" s="180"/>
      <c r="GP249" s="577"/>
      <c r="GQ249" s="181"/>
      <c r="GR249" s="181"/>
      <c r="GS249" s="181"/>
      <c r="GT249" s="181"/>
      <c r="GU249" s="181">
        <f>GV249</f>
        <v>1901480</v>
      </c>
      <c r="GV249" s="181">
        <f>GV250+GV251</f>
        <v>1901480</v>
      </c>
      <c r="GW249" s="181"/>
      <c r="GX249" s="181"/>
      <c r="GY249" s="181"/>
      <c r="GZ249" s="181"/>
      <c r="HA249" s="181"/>
      <c r="HB249" s="181"/>
      <c r="HC249" s="181"/>
      <c r="HD249" s="181"/>
      <c r="HE249" s="181"/>
      <c r="HF249" s="181"/>
      <c r="HG249" s="181">
        <f>HH249</f>
        <v>0</v>
      </c>
      <c r="HH249" s="181">
        <f>HH250+HH251</f>
        <v>0</v>
      </c>
      <c r="HI249" s="181"/>
      <c r="HJ249" s="181"/>
      <c r="HK249" s="181"/>
      <c r="HL249" s="181"/>
      <c r="HM249" s="181"/>
      <c r="HN249" s="181"/>
      <c r="HO249" s="181">
        <f>HP249</f>
        <v>1901480</v>
      </c>
      <c r="HP249" s="181">
        <f>HP250+HP251</f>
        <v>1901480</v>
      </c>
      <c r="HQ249" s="181"/>
      <c r="HR249" s="181"/>
      <c r="HS249" s="181">
        <f>HT249</f>
        <v>1721862</v>
      </c>
      <c r="HT249" s="181">
        <f>HT250+HT251</f>
        <v>1721862</v>
      </c>
      <c r="HU249" s="181"/>
      <c r="HV249" s="181"/>
      <c r="HW249" s="181">
        <f>HX249</f>
        <v>0</v>
      </c>
      <c r="HX249" s="181">
        <f>HX250+HX251</f>
        <v>0</v>
      </c>
      <c r="HY249" s="181"/>
      <c r="HZ249" s="181"/>
      <c r="IA249" s="181">
        <f>IB249</f>
        <v>1721862</v>
      </c>
      <c r="IB249" s="181">
        <f>IB250+IB251</f>
        <v>1721862</v>
      </c>
      <c r="IC249" s="181"/>
      <c r="ID249" s="181"/>
      <c r="IE249" s="198"/>
      <c r="IF249" s="277"/>
      <c r="IG249" s="277"/>
      <c r="IH249" s="277"/>
    </row>
    <row r="250" spans="2:242" s="278" customFormat="1" ht="36.75" hidden="1" customHeight="1" x14ac:dyDescent="0.3">
      <c r="B250" s="279"/>
      <c r="C250" s="174" t="s">
        <v>330</v>
      </c>
      <c r="D250" s="273"/>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81"/>
      <c r="AI250" s="181"/>
      <c r="AJ250" s="181"/>
      <c r="AK250" s="181"/>
      <c r="AL250" s="181"/>
      <c r="AM250" s="175"/>
      <c r="AN250" s="181"/>
      <c r="AO250" s="181"/>
      <c r="AP250" s="181"/>
      <c r="AQ250" s="181"/>
      <c r="AR250" s="181"/>
      <c r="AS250" s="181"/>
      <c r="AT250" s="181"/>
      <c r="AU250" s="181"/>
      <c r="AV250" s="181"/>
      <c r="AW250" s="181"/>
      <c r="AX250" s="181"/>
      <c r="AY250" s="181"/>
      <c r="AZ250" s="181"/>
      <c r="BA250" s="181"/>
      <c r="BB250" s="181"/>
      <c r="BC250" s="181"/>
      <c r="BD250" s="181"/>
      <c r="BE250" s="181"/>
      <c r="BF250" s="181"/>
      <c r="BG250" s="181"/>
      <c r="BH250" s="181"/>
      <c r="BI250" s="181"/>
      <c r="BJ250" s="181"/>
      <c r="BK250" s="181"/>
      <c r="BL250" s="105"/>
      <c r="BM250" s="105"/>
      <c r="BN250" s="105"/>
      <c r="BO250" s="105"/>
      <c r="BP250" s="105"/>
      <c r="BQ250" s="105"/>
      <c r="BR250" s="105"/>
      <c r="BS250" s="105"/>
      <c r="BT250" s="105"/>
      <c r="BU250" s="105"/>
      <c r="BV250" s="181"/>
      <c r="BW250" s="181"/>
      <c r="BX250" s="181"/>
      <c r="BY250" s="181"/>
      <c r="BZ250" s="181"/>
      <c r="CA250" s="181"/>
      <c r="CB250" s="181"/>
      <c r="CC250" s="181"/>
      <c r="CD250" s="181"/>
      <c r="CE250" s="181"/>
      <c r="CF250" s="105"/>
      <c r="CG250" s="181"/>
      <c r="CH250" s="181"/>
      <c r="CI250" s="181"/>
      <c r="CJ250" s="181"/>
      <c r="CK250" s="181"/>
      <c r="CL250" s="181"/>
      <c r="CM250" s="181"/>
      <c r="CN250" s="181"/>
      <c r="CO250" s="181"/>
      <c r="CP250" s="181"/>
      <c r="CQ250" s="181"/>
      <c r="CR250" s="181"/>
      <c r="CS250" s="181"/>
      <c r="CT250" s="181"/>
      <c r="CU250" s="181"/>
      <c r="CV250" s="181"/>
      <c r="CW250" s="164">
        <f>CX250</f>
        <v>0</v>
      </c>
      <c r="CX250" s="164">
        <v>0</v>
      </c>
      <c r="CY250" s="181"/>
      <c r="CZ250" s="181"/>
      <c r="DA250" s="181"/>
      <c r="DB250" s="181"/>
      <c r="DC250" s="181"/>
      <c r="DD250" s="181"/>
      <c r="DE250" s="181"/>
      <c r="DF250" s="164">
        <f>DG250</f>
        <v>819001.2</v>
      </c>
      <c r="DG250" s="164">
        <f>DJ250-CX250</f>
        <v>819001.2</v>
      </c>
      <c r="DH250" s="181"/>
      <c r="DI250" s="164">
        <f>DJ250</f>
        <v>819001.2</v>
      </c>
      <c r="DJ250" s="164">
        <v>819001.2</v>
      </c>
      <c r="DK250" s="181"/>
      <c r="DL250" s="181"/>
      <c r="DM250" s="181"/>
      <c r="DN250" s="181"/>
      <c r="DO250" s="181"/>
      <c r="DP250" s="181"/>
      <c r="DQ250" s="181"/>
      <c r="DR250" s="181"/>
      <c r="DS250" s="181"/>
      <c r="DT250" s="181"/>
      <c r="DU250" s="164">
        <f>DV250</f>
        <v>0</v>
      </c>
      <c r="DV250" s="164">
        <v>0</v>
      </c>
      <c r="DW250" s="181"/>
      <c r="DX250" s="181"/>
      <c r="DY250" s="181"/>
      <c r="DZ250" s="181"/>
      <c r="EA250" s="181"/>
      <c r="EB250" s="181"/>
      <c r="EC250" s="181"/>
      <c r="ED250" s="164">
        <f t="shared" si="558"/>
        <v>1041896.69995</v>
      </c>
      <c r="EE250" s="164">
        <f>EH250-DV250</f>
        <v>1041896.69995</v>
      </c>
      <c r="EF250" s="181"/>
      <c r="EG250" s="164">
        <f>EH250</f>
        <v>1041896.69995</v>
      </c>
      <c r="EH250" s="164">
        <v>1041896.69995</v>
      </c>
      <c r="EI250" s="164"/>
      <c r="EJ250" s="181"/>
      <c r="EK250" s="181">
        <f>EL250</f>
        <v>-1041896.69995</v>
      </c>
      <c r="EL250" s="181">
        <f>ET250-EH250</f>
        <v>-1041896.69995</v>
      </c>
      <c r="EM250" s="181"/>
      <c r="EN250" s="181"/>
      <c r="EO250" s="181">
        <f>EP250</f>
        <v>1041896.69995</v>
      </c>
      <c r="EP250" s="181">
        <f>EX250-EL250</f>
        <v>1041896.69995</v>
      </c>
      <c r="EQ250" s="181"/>
      <c r="ER250" s="181"/>
      <c r="ES250" s="164">
        <f>ET250</f>
        <v>0</v>
      </c>
      <c r="ET250" s="164"/>
      <c r="EU250" s="181"/>
      <c r="EV250" s="181"/>
      <c r="EW250" s="164">
        <f>EX250</f>
        <v>0</v>
      </c>
      <c r="EX250" s="164">
        <v>0</v>
      </c>
      <c r="EY250" s="181"/>
      <c r="EZ250" s="164">
        <f t="shared" si="559"/>
        <v>1085956.89112</v>
      </c>
      <c r="FA250" s="164">
        <f>FD250-EX250</f>
        <v>1085956.89112</v>
      </c>
      <c r="FB250" s="181"/>
      <c r="FC250" s="163">
        <f t="shared" si="565"/>
        <v>1085956.89112</v>
      </c>
      <c r="FD250" s="163">
        <v>1085956.89112</v>
      </c>
      <c r="FE250" s="163"/>
      <c r="FF250" s="180"/>
      <c r="FG250" s="163">
        <f>FH250</f>
        <v>-44060.191170000006</v>
      </c>
      <c r="FH250" s="163">
        <f>FP250-FD250</f>
        <v>-44060.191170000006</v>
      </c>
      <c r="FI250" s="163"/>
      <c r="FJ250" s="180"/>
      <c r="FK250" s="180">
        <f>FL250</f>
        <v>0</v>
      </c>
      <c r="FL250" s="180"/>
      <c r="FM250" s="180"/>
      <c r="FN250" s="180"/>
      <c r="FO250" s="163">
        <f t="shared" si="566"/>
        <v>1041896.69995</v>
      </c>
      <c r="FP250" s="163">
        <v>1041896.69995</v>
      </c>
      <c r="FQ250" s="163"/>
      <c r="FR250" s="180"/>
      <c r="FS250" s="163">
        <f t="shared" si="560"/>
        <v>1056011.4449799999</v>
      </c>
      <c r="FT250" s="575">
        <f t="shared" si="506"/>
        <v>0.97242482976546529</v>
      </c>
      <c r="FU250" s="163">
        <v>1056011.4449799999</v>
      </c>
      <c r="FV250" s="575">
        <f t="shared" si="507"/>
        <v>0.97242482976546529</v>
      </c>
      <c r="FW250" s="164"/>
      <c r="FX250" s="181"/>
      <c r="FY250" s="164"/>
      <c r="FZ250" s="181"/>
      <c r="GA250" s="163">
        <f t="shared" si="567"/>
        <v>1056011.4449799999</v>
      </c>
      <c r="GB250" s="575">
        <f t="shared" si="568"/>
        <v>0.97242482976546529</v>
      </c>
      <c r="GC250" s="163">
        <v>1056011.4449799999</v>
      </c>
      <c r="GD250" s="575">
        <f t="shared" si="569"/>
        <v>0.97242482976546529</v>
      </c>
      <c r="GE250" s="163"/>
      <c r="GF250" s="181"/>
      <c r="GG250" s="163"/>
      <c r="GH250" s="181"/>
      <c r="GI250" s="163">
        <f t="shared" si="561"/>
        <v>1056011.4449799999</v>
      </c>
      <c r="GJ250" s="575">
        <f t="shared" si="471"/>
        <v>0.97242482976546529</v>
      </c>
      <c r="GK250" s="163">
        <v>1056011.4449799999</v>
      </c>
      <c r="GL250" s="575">
        <f t="shared" si="472"/>
        <v>0.97242482976546529</v>
      </c>
      <c r="GM250" s="163"/>
      <c r="GN250" s="577"/>
      <c r="GO250" s="163"/>
      <c r="GP250" s="577"/>
      <c r="GQ250" s="181"/>
      <c r="GR250" s="181"/>
      <c r="GS250" s="181"/>
      <c r="GT250" s="181"/>
      <c r="GU250" s="164">
        <f t="shared" si="570"/>
        <v>1901480</v>
      </c>
      <c r="GV250" s="164">
        <v>1901480</v>
      </c>
      <c r="GW250" s="164"/>
      <c r="GX250" s="181"/>
      <c r="GY250" s="181"/>
      <c r="GZ250" s="181"/>
      <c r="HA250" s="181"/>
      <c r="HB250" s="181"/>
      <c r="HC250" s="181"/>
      <c r="HD250" s="181"/>
      <c r="HE250" s="181"/>
      <c r="HF250" s="181"/>
      <c r="HG250" s="164">
        <f t="shared" si="571"/>
        <v>0</v>
      </c>
      <c r="HH250" s="164">
        <f>HP250-GV250</f>
        <v>0</v>
      </c>
      <c r="HI250" s="164"/>
      <c r="HJ250" s="181"/>
      <c r="HK250" s="164">
        <f t="shared" si="572"/>
        <v>0</v>
      </c>
      <c r="HL250" s="164">
        <f>IF250-GZ250</f>
        <v>0</v>
      </c>
      <c r="HM250" s="164"/>
      <c r="HN250" s="181"/>
      <c r="HO250" s="164">
        <f t="shared" si="573"/>
        <v>1901480</v>
      </c>
      <c r="HP250" s="164">
        <v>1901480</v>
      </c>
      <c r="HQ250" s="164"/>
      <c r="HR250" s="181"/>
      <c r="HS250" s="164">
        <f t="shared" si="574"/>
        <v>1721862</v>
      </c>
      <c r="HT250" s="164">
        <v>1721862</v>
      </c>
      <c r="HU250" s="164"/>
      <c r="HV250" s="181"/>
      <c r="HW250" s="164">
        <f t="shared" si="575"/>
        <v>0</v>
      </c>
      <c r="HX250" s="164">
        <f>IR250-HL250</f>
        <v>0</v>
      </c>
      <c r="HY250" s="164"/>
      <c r="HZ250" s="181"/>
      <c r="IA250" s="164">
        <f t="shared" si="576"/>
        <v>1721862</v>
      </c>
      <c r="IB250" s="164">
        <f>HT250</f>
        <v>1721862</v>
      </c>
      <c r="IC250" s="164"/>
      <c r="ID250" s="181"/>
      <c r="IE250" s="200"/>
      <c r="IF250" s="277"/>
      <c r="IG250" s="277"/>
      <c r="IH250" s="277"/>
    </row>
    <row r="251" spans="2:242" s="278" customFormat="1" ht="36.75" hidden="1" customHeight="1" x14ac:dyDescent="0.3">
      <c r="B251" s="279"/>
      <c r="C251" s="174" t="s">
        <v>338</v>
      </c>
      <c r="D251" s="273"/>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75"/>
      <c r="AN251" s="181"/>
      <c r="AO251" s="181"/>
      <c r="AP251" s="181"/>
      <c r="AQ251" s="181"/>
      <c r="AR251" s="181"/>
      <c r="AS251" s="181"/>
      <c r="AT251" s="181"/>
      <c r="AU251" s="181"/>
      <c r="AV251" s="181"/>
      <c r="AW251" s="181"/>
      <c r="AX251" s="181"/>
      <c r="AY251" s="181"/>
      <c r="AZ251" s="181"/>
      <c r="BA251" s="181"/>
      <c r="BB251" s="181"/>
      <c r="BC251" s="181"/>
      <c r="BD251" s="181"/>
      <c r="BE251" s="181"/>
      <c r="BF251" s="181"/>
      <c r="BG251" s="181"/>
      <c r="BH251" s="181"/>
      <c r="BI251" s="181"/>
      <c r="BJ251" s="181"/>
      <c r="BK251" s="181"/>
      <c r="BL251" s="105"/>
      <c r="BM251" s="105"/>
      <c r="BN251" s="105"/>
      <c r="BO251" s="105"/>
      <c r="BP251" s="105"/>
      <c r="BQ251" s="105"/>
      <c r="BR251" s="105"/>
      <c r="BS251" s="105"/>
      <c r="BT251" s="105"/>
      <c r="BU251" s="105"/>
      <c r="BV251" s="181"/>
      <c r="BW251" s="181"/>
      <c r="BX251" s="181"/>
      <c r="BY251" s="181"/>
      <c r="BZ251" s="181"/>
      <c r="CA251" s="181"/>
      <c r="CB251" s="181"/>
      <c r="CC251" s="181"/>
      <c r="CD251" s="181"/>
      <c r="CE251" s="181"/>
      <c r="CF251" s="105"/>
      <c r="CG251" s="181"/>
      <c r="CH251" s="181"/>
      <c r="CI251" s="181"/>
      <c r="CJ251" s="181"/>
      <c r="CK251" s="181"/>
      <c r="CL251" s="181"/>
      <c r="CM251" s="181"/>
      <c r="CN251" s="181"/>
      <c r="CO251" s="181"/>
      <c r="CP251" s="181"/>
      <c r="CQ251" s="181"/>
      <c r="CR251" s="181"/>
      <c r="CS251" s="181"/>
      <c r="CT251" s="181"/>
      <c r="CU251" s="181"/>
      <c r="CV251" s="181"/>
      <c r="CW251" s="164">
        <f>CX251</f>
        <v>0</v>
      </c>
      <c r="CX251" s="164">
        <v>0</v>
      </c>
      <c r="CY251" s="181"/>
      <c r="CZ251" s="181"/>
      <c r="DA251" s="181"/>
      <c r="DB251" s="181"/>
      <c r="DC251" s="181"/>
      <c r="DD251" s="181"/>
      <c r="DE251" s="181"/>
      <c r="DF251" s="164">
        <f>DG251</f>
        <v>0</v>
      </c>
      <c r="DG251" s="164">
        <v>0</v>
      </c>
      <c r="DH251" s="181"/>
      <c r="DI251" s="164">
        <f>DJ251</f>
        <v>0</v>
      </c>
      <c r="DJ251" s="164">
        <v>0</v>
      </c>
      <c r="DK251" s="181"/>
      <c r="DL251" s="181"/>
      <c r="DM251" s="181"/>
      <c r="DN251" s="181"/>
      <c r="DO251" s="181"/>
      <c r="DP251" s="181"/>
      <c r="DQ251" s="181"/>
      <c r="DR251" s="181"/>
      <c r="DS251" s="181"/>
      <c r="DT251" s="181"/>
      <c r="DU251" s="164">
        <f>DV251</f>
        <v>0</v>
      </c>
      <c r="DV251" s="164">
        <v>0</v>
      </c>
      <c r="DW251" s="181"/>
      <c r="DX251" s="181"/>
      <c r="DY251" s="181"/>
      <c r="DZ251" s="181"/>
      <c r="EA251" s="181"/>
      <c r="EB251" s="181"/>
      <c r="EC251" s="181"/>
      <c r="ED251" s="164">
        <f t="shared" si="558"/>
        <v>290761</v>
      </c>
      <c r="EE251" s="164">
        <f>EH251-DV251</f>
        <v>290761</v>
      </c>
      <c r="EF251" s="181"/>
      <c r="EG251" s="164">
        <f>EH251</f>
        <v>290761</v>
      </c>
      <c r="EH251" s="164">
        <v>290761</v>
      </c>
      <c r="EI251" s="164"/>
      <c r="EJ251" s="181"/>
      <c r="EK251" s="181">
        <f>EL251</f>
        <v>-290761</v>
      </c>
      <c r="EL251" s="181">
        <f>ET251-EH251</f>
        <v>-290761</v>
      </c>
      <c r="EM251" s="181"/>
      <c r="EN251" s="181"/>
      <c r="EO251" s="181">
        <f>EP251</f>
        <v>290761</v>
      </c>
      <c r="EP251" s="181">
        <f>EX251-EL251</f>
        <v>290761</v>
      </c>
      <c r="EQ251" s="181"/>
      <c r="ER251" s="181"/>
      <c r="ES251" s="164">
        <f>ET251</f>
        <v>0</v>
      </c>
      <c r="ET251" s="164"/>
      <c r="EU251" s="181"/>
      <c r="EV251" s="181"/>
      <c r="EW251" s="164">
        <f>EX251</f>
        <v>0</v>
      </c>
      <c r="EX251" s="164">
        <v>0</v>
      </c>
      <c r="EY251" s="181"/>
      <c r="EZ251" s="164">
        <f t="shared" si="559"/>
        <v>246700.80882999999</v>
      </c>
      <c r="FA251" s="164">
        <f>FD251-EX251</f>
        <v>246700.80882999999</v>
      </c>
      <c r="FB251" s="181"/>
      <c r="FC251" s="163">
        <f t="shared" si="565"/>
        <v>246700.80882999999</v>
      </c>
      <c r="FD251" s="163">
        <v>246700.80882999999</v>
      </c>
      <c r="FE251" s="163"/>
      <c r="FF251" s="180"/>
      <c r="FG251" s="163">
        <f>FH251</f>
        <v>44060.191170000006</v>
      </c>
      <c r="FH251" s="163">
        <f>FP251-FD251</f>
        <v>44060.191170000006</v>
      </c>
      <c r="FI251" s="163"/>
      <c r="FJ251" s="180"/>
      <c r="FK251" s="180">
        <f>FL251</f>
        <v>-44060.191170000006</v>
      </c>
      <c r="FL251" s="180">
        <f>GV251-FH251</f>
        <v>-44060.191170000006</v>
      </c>
      <c r="FM251" s="180"/>
      <c r="FN251" s="180"/>
      <c r="FO251" s="163">
        <f t="shared" si="566"/>
        <v>290761</v>
      </c>
      <c r="FP251" s="163">
        <v>290761</v>
      </c>
      <c r="FQ251" s="163"/>
      <c r="FR251" s="180"/>
      <c r="FS251" s="163">
        <f t="shared" si="560"/>
        <v>245677.76769000001</v>
      </c>
      <c r="FT251" s="575">
        <f t="shared" si="506"/>
        <v>0.99585310990729281</v>
      </c>
      <c r="FU251" s="163">
        <v>245677.76769000001</v>
      </c>
      <c r="FV251" s="575">
        <f t="shared" si="507"/>
        <v>0.99585310990729281</v>
      </c>
      <c r="FW251" s="164"/>
      <c r="FX251" s="181"/>
      <c r="FY251" s="164"/>
      <c r="FZ251" s="181"/>
      <c r="GA251" s="163">
        <f t="shared" si="567"/>
        <v>245677.76769000001</v>
      </c>
      <c r="GB251" s="575">
        <f t="shared" si="568"/>
        <v>0.99585310990729281</v>
      </c>
      <c r="GC251" s="163">
        <v>245677.76769000001</v>
      </c>
      <c r="GD251" s="575">
        <f t="shared" si="569"/>
        <v>0.99585310990729281</v>
      </c>
      <c r="GE251" s="163"/>
      <c r="GF251" s="181"/>
      <c r="GG251" s="163"/>
      <c r="GH251" s="181"/>
      <c r="GI251" s="163">
        <f>GK251</f>
        <v>245677.76769000001</v>
      </c>
      <c r="GJ251" s="575">
        <f t="shared" si="471"/>
        <v>0.99585310990729281</v>
      </c>
      <c r="GK251" s="163">
        <v>245677.76769000001</v>
      </c>
      <c r="GL251" s="575">
        <f t="shared" si="472"/>
        <v>0.99585310990729281</v>
      </c>
      <c r="GM251" s="163"/>
      <c r="GN251" s="207"/>
      <c r="GO251" s="163"/>
      <c r="GP251" s="207"/>
      <c r="GQ251" s="181"/>
      <c r="GR251" s="181"/>
      <c r="GS251" s="181"/>
      <c r="GT251" s="181"/>
      <c r="GU251" s="164">
        <f t="shared" si="570"/>
        <v>0</v>
      </c>
      <c r="GV251" s="164">
        <v>0</v>
      </c>
      <c r="GW251" s="164"/>
      <c r="GX251" s="181"/>
      <c r="GY251" s="181"/>
      <c r="GZ251" s="181"/>
      <c r="HA251" s="181"/>
      <c r="HB251" s="181"/>
      <c r="HC251" s="181"/>
      <c r="HD251" s="181"/>
      <c r="HE251" s="181"/>
      <c r="HF251" s="181"/>
      <c r="HG251" s="164">
        <f t="shared" si="571"/>
        <v>0</v>
      </c>
      <c r="HH251" s="164">
        <v>0</v>
      </c>
      <c r="HI251" s="164"/>
      <c r="HJ251" s="181"/>
      <c r="HK251" s="164">
        <f t="shared" si="572"/>
        <v>0</v>
      </c>
      <c r="HL251" s="164">
        <v>0</v>
      </c>
      <c r="HM251" s="164"/>
      <c r="HN251" s="181"/>
      <c r="HO251" s="164">
        <f t="shared" si="573"/>
        <v>0</v>
      </c>
      <c r="HP251" s="164">
        <v>0</v>
      </c>
      <c r="HQ251" s="164"/>
      <c r="HR251" s="181"/>
      <c r="HS251" s="164">
        <f t="shared" si="574"/>
        <v>0</v>
      </c>
      <c r="HT251" s="164">
        <v>0</v>
      </c>
      <c r="HU251" s="164"/>
      <c r="HV251" s="181"/>
      <c r="HW251" s="164">
        <f t="shared" si="575"/>
        <v>0</v>
      </c>
      <c r="HX251" s="164">
        <v>0</v>
      </c>
      <c r="HY251" s="164"/>
      <c r="HZ251" s="181"/>
      <c r="IA251" s="164">
        <f t="shared" si="576"/>
        <v>0</v>
      </c>
      <c r="IB251" s="164">
        <v>0</v>
      </c>
      <c r="IC251" s="164"/>
      <c r="ID251" s="181"/>
      <c r="IE251" s="200"/>
      <c r="IF251" s="277"/>
      <c r="IG251" s="277"/>
      <c r="IH251" s="277"/>
    </row>
    <row r="252" spans="2:242" s="278" customFormat="1" ht="36.75" hidden="1" customHeight="1" x14ac:dyDescent="0.3">
      <c r="B252" s="279"/>
      <c r="C252" s="174"/>
      <c r="D252" s="273"/>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c r="AC252" s="181"/>
      <c r="AD252" s="181"/>
      <c r="AE252" s="181"/>
      <c r="AF252" s="181"/>
      <c r="AG252" s="181"/>
      <c r="AH252" s="181"/>
      <c r="AI252" s="181"/>
      <c r="AJ252" s="181"/>
      <c r="AK252" s="181"/>
      <c r="AL252" s="181"/>
      <c r="AM252" s="247"/>
      <c r="AN252" s="181"/>
      <c r="AO252" s="181"/>
      <c r="AP252" s="181"/>
      <c r="AQ252" s="181"/>
      <c r="AR252" s="181"/>
      <c r="AS252" s="181"/>
      <c r="AT252" s="181"/>
      <c r="AU252" s="181"/>
      <c r="AV252" s="181"/>
      <c r="AW252" s="181"/>
      <c r="AX252" s="181"/>
      <c r="AY252" s="181"/>
      <c r="AZ252" s="181"/>
      <c r="BA252" s="181"/>
      <c r="BB252" s="181"/>
      <c r="BC252" s="181"/>
      <c r="BD252" s="181"/>
      <c r="BE252" s="181"/>
      <c r="BF252" s="181"/>
      <c r="BG252" s="181"/>
      <c r="BH252" s="181"/>
      <c r="BI252" s="181"/>
      <c r="BJ252" s="181"/>
      <c r="BK252" s="181"/>
      <c r="BL252" s="105"/>
      <c r="BM252" s="105"/>
      <c r="BN252" s="105"/>
      <c r="BO252" s="105"/>
      <c r="BP252" s="105"/>
      <c r="BQ252" s="105"/>
      <c r="BR252" s="105"/>
      <c r="BS252" s="105"/>
      <c r="BT252" s="105"/>
      <c r="BU252" s="105"/>
      <c r="BV252" s="181"/>
      <c r="BW252" s="181"/>
      <c r="BX252" s="181"/>
      <c r="BY252" s="181"/>
      <c r="BZ252" s="181"/>
      <c r="CA252" s="181"/>
      <c r="CB252" s="181"/>
      <c r="CC252" s="181"/>
      <c r="CD252" s="181"/>
      <c r="CE252" s="181"/>
      <c r="CF252" s="105"/>
      <c r="CG252" s="181"/>
      <c r="CH252" s="181"/>
      <c r="CI252" s="181"/>
      <c r="CJ252" s="181"/>
      <c r="CK252" s="181"/>
      <c r="CL252" s="181"/>
      <c r="CM252" s="181"/>
      <c r="CN252" s="181"/>
      <c r="CO252" s="181"/>
      <c r="CP252" s="181"/>
      <c r="CQ252" s="181"/>
      <c r="CR252" s="181"/>
      <c r="CS252" s="181"/>
      <c r="CT252" s="181"/>
      <c r="CU252" s="181"/>
      <c r="CV252" s="181"/>
      <c r="CW252" s="164"/>
      <c r="CX252" s="164"/>
      <c r="CY252" s="181"/>
      <c r="CZ252" s="181"/>
      <c r="DA252" s="181"/>
      <c r="DB252" s="181"/>
      <c r="DC252" s="181"/>
      <c r="DD252" s="181"/>
      <c r="DE252" s="181"/>
      <c r="DF252" s="164"/>
      <c r="DG252" s="164"/>
      <c r="DH252" s="181"/>
      <c r="DI252" s="164"/>
      <c r="DJ252" s="164"/>
      <c r="DK252" s="181"/>
      <c r="DL252" s="181"/>
      <c r="DM252" s="181"/>
      <c r="DN252" s="181"/>
      <c r="DO252" s="181"/>
      <c r="DP252" s="181"/>
      <c r="DQ252" s="181"/>
      <c r="DR252" s="181"/>
      <c r="DS252" s="181"/>
      <c r="DT252" s="181"/>
      <c r="DU252" s="164"/>
      <c r="DV252" s="164"/>
      <c r="DW252" s="181"/>
      <c r="DX252" s="181"/>
      <c r="DY252" s="181"/>
      <c r="DZ252" s="181"/>
      <c r="EA252" s="181"/>
      <c r="EB252" s="181"/>
      <c r="EC252" s="181"/>
      <c r="ED252" s="164"/>
      <c r="EE252" s="164"/>
      <c r="EF252" s="181"/>
      <c r="EG252" s="164"/>
      <c r="EH252" s="164"/>
      <c r="EI252" s="164"/>
      <c r="EJ252" s="181"/>
      <c r="EK252" s="181"/>
      <c r="EL252" s="181"/>
      <c r="EM252" s="181"/>
      <c r="EN252" s="181"/>
      <c r="EO252" s="181"/>
      <c r="EP252" s="181"/>
      <c r="EQ252" s="181"/>
      <c r="ER252" s="181"/>
      <c r="ES252" s="164"/>
      <c r="ET252" s="164"/>
      <c r="EU252" s="181"/>
      <c r="EV252" s="181"/>
      <c r="EW252" s="164"/>
      <c r="EX252" s="164"/>
      <c r="EY252" s="181"/>
      <c r="EZ252" s="164"/>
      <c r="FA252" s="164"/>
      <c r="FB252" s="181"/>
      <c r="FC252" s="163"/>
      <c r="FD252" s="163"/>
      <c r="FE252" s="163"/>
      <c r="FF252" s="180"/>
      <c r="FG252" s="163"/>
      <c r="FH252" s="163"/>
      <c r="FI252" s="163"/>
      <c r="FJ252" s="180"/>
      <c r="FK252" s="180"/>
      <c r="FL252" s="180"/>
      <c r="FM252" s="180"/>
      <c r="FN252" s="180"/>
      <c r="FO252" s="163"/>
      <c r="FP252" s="163"/>
      <c r="FQ252" s="163"/>
      <c r="FR252" s="180"/>
      <c r="FS252" s="180"/>
      <c r="FT252" s="575" t="e">
        <f t="shared" si="506"/>
        <v>#DIV/0!</v>
      </c>
      <c r="FU252" s="180"/>
      <c r="FV252" s="575" t="e">
        <f t="shared" si="507"/>
        <v>#DIV/0!</v>
      </c>
      <c r="FW252" s="181"/>
      <c r="FX252" s="181"/>
      <c r="FY252" s="181"/>
      <c r="FZ252" s="181"/>
      <c r="GA252" s="180"/>
      <c r="GB252" s="575"/>
      <c r="GC252" s="180"/>
      <c r="GD252" s="575"/>
      <c r="GE252" s="180"/>
      <c r="GF252" s="181"/>
      <c r="GG252" s="180"/>
      <c r="GH252" s="181"/>
      <c r="GI252" s="180"/>
      <c r="GJ252" s="575" t="e">
        <f t="shared" si="471"/>
        <v>#DIV/0!</v>
      </c>
      <c r="GK252" s="180"/>
      <c r="GL252" s="575" t="e">
        <f t="shared" si="472"/>
        <v>#DIV/0!</v>
      </c>
      <c r="GM252" s="180"/>
      <c r="GN252" s="207"/>
      <c r="GO252" s="180"/>
      <c r="GP252" s="207"/>
      <c r="GQ252" s="181"/>
      <c r="GR252" s="181"/>
      <c r="GS252" s="181"/>
      <c r="GT252" s="181"/>
      <c r="GU252" s="164"/>
      <c r="GV252" s="164"/>
      <c r="GW252" s="164"/>
      <c r="GX252" s="181"/>
      <c r="GY252" s="181"/>
      <c r="GZ252" s="181"/>
      <c r="HA252" s="181"/>
      <c r="HB252" s="181"/>
      <c r="HC252" s="181"/>
      <c r="HD252" s="181"/>
      <c r="HE252" s="181"/>
      <c r="HF252" s="181"/>
      <c r="HG252" s="164"/>
      <c r="HH252" s="164"/>
      <c r="HI252" s="164"/>
      <c r="HJ252" s="181"/>
      <c r="HK252" s="164"/>
      <c r="HL252" s="164"/>
      <c r="HM252" s="164"/>
      <c r="HN252" s="181"/>
      <c r="HO252" s="164"/>
      <c r="HP252" s="164"/>
      <c r="HQ252" s="164"/>
      <c r="HR252" s="181"/>
      <c r="HS252" s="164"/>
      <c r="HT252" s="164"/>
      <c r="HU252" s="164"/>
      <c r="HV252" s="181"/>
      <c r="HW252" s="164"/>
      <c r="HX252" s="164"/>
      <c r="HY252" s="164"/>
      <c r="HZ252" s="181"/>
      <c r="IA252" s="164"/>
      <c r="IB252" s="164"/>
      <c r="IC252" s="164"/>
      <c r="ID252" s="181"/>
      <c r="IE252" s="200"/>
      <c r="IF252" s="277"/>
      <c r="IG252" s="277"/>
      <c r="IH252" s="277"/>
    </row>
    <row r="253" spans="2:242" s="283" customFormat="1" ht="105" customHeight="1" x14ac:dyDescent="0.3">
      <c r="B253" s="149" t="s">
        <v>108</v>
      </c>
      <c r="C253" s="107" t="s">
        <v>514</v>
      </c>
      <c r="D253" s="107" t="s">
        <v>335</v>
      </c>
      <c r="E253" s="651" t="e">
        <f>E254+#REF!+#REF!</f>
        <v>#REF!</v>
      </c>
      <c r="F253" s="651" t="e">
        <f>F254+#REF!+#REF!</f>
        <v>#REF!</v>
      </c>
      <c r="G253" s="651" t="e">
        <f>G254+#REF!+#REF!</f>
        <v>#REF!</v>
      </c>
      <c r="H253" s="651" t="e">
        <f>H254+#REF!+#REF!</f>
        <v>#REF!</v>
      </c>
      <c r="I253" s="651" t="e">
        <f>I254+#REF!+#REF!</f>
        <v>#REF!</v>
      </c>
      <c r="J253" s="651" t="e">
        <f>J254+#REF!+#REF!</f>
        <v>#REF!</v>
      </c>
      <c r="K253" s="651" t="e">
        <f>K254+#REF!+#REF!</f>
        <v>#REF!</v>
      </c>
      <c r="L253" s="651" t="e">
        <f>L254+#REF!+#REF!</f>
        <v>#REF!</v>
      </c>
      <c r="M253" s="651" t="e">
        <f>M254+#REF!+#REF!</f>
        <v>#REF!</v>
      </c>
      <c r="N253" s="651" t="e">
        <f>N254+#REF!+#REF!</f>
        <v>#REF!</v>
      </c>
      <c r="O253" s="651" t="e">
        <f>O254+#REF!+#REF!</f>
        <v>#REF!</v>
      </c>
      <c r="P253" s="651" t="e">
        <f>P254+#REF!+#REF!</f>
        <v>#REF!</v>
      </c>
      <c r="Q253" s="651" t="e">
        <f>Q254+#REF!+#REF!</f>
        <v>#REF!</v>
      </c>
      <c r="R253" s="651" t="e">
        <f>R254+#REF!+#REF!</f>
        <v>#REF!</v>
      </c>
      <c r="S253" s="651" t="e">
        <f>S254+#REF!+#REF!</f>
        <v>#REF!</v>
      </c>
      <c r="T253" s="651" t="e">
        <f>T254+#REF!+#REF!</f>
        <v>#REF!</v>
      </c>
      <c r="U253" s="651" t="e">
        <f>U254+#REF!+#REF!</f>
        <v>#REF!</v>
      </c>
      <c r="V253" s="651" t="e">
        <f>V254+#REF!+#REF!</f>
        <v>#REF!</v>
      </c>
      <c r="W253" s="651" t="e">
        <f>W254+#REF!+#REF!</f>
        <v>#REF!</v>
      </c>
      <c r="X253" s="651" t="e">
        <f>X254+#REF!+#REF!</f>
        <v>#REF!</v>
      </c>
      <c r="Y253" s="651" t="e">
        <f>Y254+#REF!+#REF!</f>
        <v>#REF!</v>
      </c>
      <c r="Z253" s="651" t="e">
        <f>Z254+#REF!+#REF!</f>
        <v>#REF!</v>
      </c>
      <c r="AA253" s="651" t="e">
        <f>AA254+#REF!+#REF!</f>
        <v>#REF!</v>
      </c>
      <c r="AB253" s="651" t="e">
        <f>AB254+#REF!+#REF!</f>
        <v>#REF!</v>
      </c>
      <c r="AC253" s="651" t="e">
        <f>AC254+#REF!+#REF!</f>
        <v>#REF!</v>
      </c>
      <c r="AD253" s="651" t="e">
        <f>AD254+#REF!+#REF!</f>
        <v>#REF!</v>
      </c>
      <c r="AE253" s="651" t="e">
        <f>AE254+#REF!+#REF!</f>
        <v>#REF!</v>
      </c>
      <c r="AF253" s="651" t="e">
        <f>AF254+#REF!+#REF!</f>
        <v>#REF!</v>
      </c>
      <c r="AG253" s="651" t="e">
        <f>AG254+#REF!+#REF!</f>
        <v>#REF!</v>
      </c>
      <c r="AH253" s="651" t="e">
        <f>AH254+#REF!+#REF!</f>
        <v>#REF!</v>
      </c>
      <c r="AI253" s="651">
        <v>0</v>
      </c>
      <c r="AJ253" s="651" t="e">
        <f>AJ254+#REF!+#REF!</f>
        <v>#REF!</v>
      </c>
      <c r="AK253" s="268" t="e">
        <f>Z253-AJ253</f>
        <v>#REF!</v>
      </c>
      <c r="AL253" s="268" t="e">
        <f>AF253-AJ253</f>
        <v>#REF!</v>
      </c>
      <c r="AM253" s="758" t="s">
        <v>336</v>
      </c>
      <c r="AN253" s="269" t="s">
        <v>321</v>
      </c>
      <c r="AO253" s="192">
        <v>1</v>
      </c>
      <c r="AP253" s="154" t="e">
        <f>AP254+#REF!</f>
        <v>#REF!</v>
      </c>
      <c r="AQ253" s="154" t="e">
        <f>AQ254+#REF!</f>
        <v>#REF!</v>
      </c>
      <c r="AR253" s="154" t="e">
        <f>AR254+#REF!</f>
        <v>#REF!</v>
      </c>
      <c r="AS253" s="651" t="e">
        <f>AS254+#REF!+#REF!</f>
        <v>#REF!</v>
      </c>
      <c r="AT253" s="651" t="e">
        <f>AT254+#REF!+#REF!</f>
        <v>#REF!</v>
      </c>
      <c r="AU253" s="651" t="e">
        <f>AU254+#REF!+#REF!</f>
        <v>#REF!</v>
      </c>
      <c r="AV253" s="651" t="e">
        <f>AW253+AX253</f>
        <v>#REF!</v>
      </c>
      <c r="AW253" s="651" t="e">
        <f>AW254+#REF!</f>
        <v>#REF!</v>
      </c>
      <c r="AX253" s="651" t="e">
        <f>AX254+#REF!</f>
        <v>#REF!</v>
      </c>
      <c r="AY253" s="651" t="e">
        <f>AY254+#REF!+#REF!</f>
        <v>#REF!</v>
      </c>
      <c r="AZ253" s="651" t="e">
        <f>AZ254+#REF!+#REF!</f>
        <v>#REF!</v>
      </c>
      <c r="BA253" s="651" t="e">
        <f>BA254+#REF!+#REF!</f>
        <v>#REF!</v>
      </c>
      <c r="BB253" s="651" t="e">
        <f>BB254+#REF!+#REF!</f>
        <v>#REF!</v>
      </c>
      <c r="BC253" s="651" t="e">
        <f>BC254+#REF!+#REF!</f>
        <v>#REF!</v>
      </c>
      <c r="BD253" s="651" t="e">
        <f>BD254+#REF!+#REF!</f>
        <v>#REF!</v>
      </c>
      <c r="BE253" s="651" t="e">
        <f>BE254+#REF!+#REF!</f>
        <v>#REF!</v>
      </c>
      <c r="BF253" s="651" t="e">
        <f>BF254+#REF!+#REF!</f>
        <v>#REF!</v>
      </c>
      <c r="BG253" s="651" t="e">
        <f>BG254+#REF!+#REF!</f>
        <v>#REF!</v>
      </c>
      <c r="BH253" s="651" t="e">
        <f>BH254+#REF!+#REF!</f>
        <v>#REF!</v>
      </c>
      <c r="BI253" s="651" t="e">
        <f>BI254+#REF!+#REF!</f>
        <v>#REF!</v>
      </c>
      <c r="BJ253" s="651" t="e">
        <f>BJ254+#REF!+#REF!</f>
        <v>#REF!</v>
      </c>
      <c r="BK253" s="192" t="e">
        <f>BL253/AY253</f>
        <v>#REF!</v>
      </c>
      <c r="BL253" s="651" t="e">
        <f>AZ253*75/100</f>
        <v>#REF!</v>
      </c>
      <c r="BM253" s="651" t="e">
        <f>BM254+#REF!+#REF!</f>
        <v>#REF!</v>
      </c>
      <c r="BN253" s="651" t="e">
        <f>BN254+#REF!+#REF!</f>
        <v>#REF!</v>
      </c>
      <c r="BO253" s="651" t="e">
        <f>BO254+#REF!+#REF!</f>
        <v>#REF!</v>
      </c>
      <c r="BP253" s="651" t="e">
        <f>BP254+#REF!+#REF!</f>
        <v>#REF!</v>
      </c>
      <c r="BQ253" s="651" t="e">
        <f>BQ254+#REF!+#REF!</f>
        <v>#REF!</v>
      </c>
      <c r="BR253" s="651" t="e">
        <f>BR254+#REF!+#REF!</f>
        <v>#REF!</v>
      </c>
      <c r="BS253" s="651" t="e">
        <f>BS254+#REF!+#REF!</f>
        <v>#REF!</v>
      </c>
      <c r="BT253" s="651" t="e">
        <f>BT254+#REF!+#REF!</f>
        <v>#REF!</v>
      </c>
      <c r="BU253" s="651" t="e">
        <f>BU254+#REF!+#REF!</f>
        <v>#REF!</v>
      </c>
      <c r="BV253" s="651" t="e">
        <f>BV254+#REF!+#REF!</f>
        <v>#REF!</v>
      </c>
      <c r="BW253" s="651" t="e">
        <f>BW254+#REF!+#REF!</f>
        <v>#REF!</v>
      </c>
      <c r="BX253" s="651" t="e">
        <f>BX254+#REF!+#REF!</f>
        <v>#REF!</v>
      </c>
      <c r="BY253" s="651" t="e">
        <f>BY254+#REF!+#REF!</f>
        <v>#REF!</v>
      </c>
      <c r="BZ253" s="651" t="e">
        <f>BZ254+#REF!+#REF!</f>
        <v>#REF!</v>
      </c>
      <c r="CA253" s="651" t="e">
        <f>CA254+#REF!+#REF!</f>
        <v>#REF!</v>
      </c>
      <c r="CB253" s="651" t="e">
        <f>CB254+#REF!+#REF!</f>
        <v>#REF!</v>
      </c>
      <c r="CC253" s="651" t="e">
        <f>CC254+#REF!+#REF!</f>
        <v>#REF!</v>
      </c>
      <c r="CD253" s="651" t="e">
        <f>CD254+#REF!+#REF!</f>
        <v>#REF!</v>
      </c>
      <c r="CE253" s="192" t="e">
        <f>CF253/BV253</f>
        <v>#REF!</v>
      </c>
      <c r="CF253" s="651" t="e">
        <f>CF254+#REF!</f>
        <v>#REF!</v>
      </c>
      <c r="CG253" s="107"/>
      <c r="CH253" s="651" t="e">
        <f>CH254+#REF!+#REF!</f>
        <v>#REF!</v>
      </c>
      <c r="CI253" s="651" t="e">
        <f>CI254+#REF!+#REF!</f>
        <v>#REF!</v>
      </c>
      <c r="CJ253" s="651" t="e">
        <f>CJ254+#REF!+#REF!</f>
        <v>#REF!</v>
      </c>
      <c r="CK253" s="651" t="e">
        <f>CL253+CM253</f>
        <v>#REF!</v>
      </c>
      <c r="CL253" s="651" t="e">
        <f>CL254+#REF!</f>
        <v>#REF!</v>
      </c>
      <c r="CM253" s="651" t="e">
        <f>CM254+#REF!</f>
        <v>#REF!</v>
      </c>
      <c r="CN253" s="192" t="e">
        <f>CN254+CN272</f>
        <v>#REF!</v>
      </c>
      <c r="CO253" s="192" t="e">
        <f>CO254+CO272</f>
        <v>#REF!</v>
      </c>
      <c r="CP253" s="192" t="e">
        <f>CP254+CP272</f>
        <v>#REF!</v>
      </c>
      <c r="CQ253" s="651" t="e">
        <f>CQ254+#REF!+#REF!</f>
        <v>#REF!</v>
      </c>
      <c r="CR253" s="651" t="e">
        <f>CR254+#REF!+#REF!</f>
        <v>#REF!</v>
      </c>
      <c r="CS253" s="651" t="e">
        <f>CS254+#REF!+#REF!</f>
        <v>#REF!</v>
      </c>
      <c r="CT253" s="651" t="e">
        <f>CT254+#REF!+#REF!</f>
        <v>#REF!</v>
      </c>
      <c r="CU253" s="651" t="e">
        <f>CU254+#REF!+#REF!</f>
        <v>#REF!</v>
      </c>
      <c r="CV253" s="651" t="e">
        <f>CV254+#REF!+#REF!</f>
        <v>#REF!</v>
      </c>
      <c r="CW253" s="651">
        <f>CX253</f>
        <v>296317.40000000002</v>
      </c>
      <c r="CX253" s="651">
        <f>CX254</f>
        <v>296317.40000000002</v>
      </c>
      <c r="CY253" s="651">
        <f>CY254</f>
        <v>0</v>
      </c>
      <c r="CZ253" s="651" t="e">
        <f>CZ254+#REF!+#REF!</f>
        <v>#REF!</v>
      </c>
      <c r="DA253" s="651" t="e">
        <f>DA254+#REF!+#REF!</f>
        <v>#REF!</v>
      </c>
      <c r="DB253" s="651" t="e">
        <f>DB254+#REF!+#REF!</f>
        <v>#REF!</v>
      </c>
      <c r="DC253" s="651"/>
      <c r="DD253" s="651"/>
      <c r="DE253" s="651"/>
      <c r="DF253" s="651" t="e">
        <f>DG253</f>
        <v>#REF!</v>
      </c>
      <c r="DG253" s="651" t="e">
        <f>DG254+#REF!</f>
        <v>#REF!</v>
      </c>
      <c r="DH253" s="651">
        <f>DH254</f>
        <v>0</v>
      </c>
      <c r="DI253" s="651" t="e">
        <f>DJ253</f>
        <v>#REF!</v>
      </c>
      <c r="DJ253" s="651" t="e">
        <f>DJ254+#REF!</f>
        <v>#REF!</v>
      </c>
      <c r="DK253" s="651">
        <f>DK254</f>
        <v>0</v>
      </c>
      <c r="DL253" s="651">
        <f>DM253</f>
        <v>0</v>
      </c>
      <c r="DM253" s="651">
        <f>DM254</f>
        <v>0</v>
      </c>
      <c r="DN253" s="651">
        <f>DN254</f>
        <v>0</v>
      </c>
      <c r="DO253" s="651">
        <f>DP253</f>
        <v>0</v>
      </c>
      <c r="DP253" s="651">
        <f>DP254</f>
        <v>0</v>
      </c>
      <c r="DQ253" s="651">
        <f>DQ254</f>
        <v>0</v>
      </c>
      <c r="DR253" s="651">
        <f>DS253</f>
        <v>296317.40000000002</v>
      </c>
      <c r="DS253" s="651">
        <f>DS254</f>
        <v>296317.40000000002</v>
      </c>
      <c r="DT253" s="651">
        <f>DT254</f>
        <v>0</v>
      </c>
      <c r="DU253" s="651">
        <f>DV253</f>
        <v>0</v>
      </c>
      <c r="DV253" s="651">
        <f>DV254</f>
        <v>0</v>
      </c>
      <c r="DW253" s="651">
        <f>DW254</f>
        <v>0</v>
      </c>
      <c r="DX253" s="651" t="e">
        <f>DX254+#REF!+#REF!</f>
        <v>#REF!</v>
      </c>
      <c r="DY253" s="651" t="e">
        <f>DY254+#REF!+#REF!</f>
        <v>#REF!</v>
      </c>
      <c r="DZ253" s="651" t="e">
        <f>DZ254+#REF!+#REF!</f>
        <v>#REF!</v>
      </c>
      <c r="EA253" s="651"/>
      <c r="EB253" s="651"/>
      <c r="EC253" s="651"/>
      <c r="ED253" s="651" t="e">
        <f>EE253</f>
        <v>#REF!</v>
      </c>
      <c r="EE253" s="651" t="e">
        <f>EE254+#REF!</f>
        <v>#REF!</v>
      </c>
      <c r="EF253" s="651"/>
      <c r="EG253" s="192" t="e">
        <f>EH253+EI253+EJ253</f>
        <v>#REF!</v>
      </c>
      <c r="EH253" s="192" t="e">
        <f>EH254+#REF!</f>
        <v>#REF!</v>
      </c>
      <c r="EI253" s="192"/>
      <c r="EJ253" s="651"/>
      <c r="EK253" s="192" t="e">
        <f>EL253+EN253</f>
        <v>#REF!</v>
      </c>
      <c r="EL253" s="192" t="e">
        <f>EL254+#REF!</f>
        <v>#REF!</v>
      </c>
      <c r="EM253" s="192" t="e">
        <f>EM254+#REF!</f>
        <v>#REF!</v>
      </c>
      <c r="EN253" s="192" t="e">
        <f>EN254+#REF!</f>
        <v>#REF!</v>
      </c>
      <c r="EO253" s="192" t="e">
        <f>EP253+ER253</f>
        <v>#REF!</v>
      </c>
      <c r="EP253" s="192" t="e">
        <f>EP254+#REF!</f>
        <v>#REF!</v>
      </c>
      <c r="EQ253" s="192" t="e">
        <f>EQ254+#REF!</f>
        <v>#REF!</v>
      </c>
      <c r="ER253" s="192" t="e">
        <f>ER254+#REF!</f>
        <v>#REF!</v>
      </c>
      <c r="ES253" s="192" t="e">
        <f>ET253+EU253+EV253</f>
        <v>#REF!</v>
      </c>
      <c r="ET253" s="192" t="e">
        <f>ET254+#REF!</f>
        <v>#REF!</v>
      </c>
      <c r="EU253" s="651"/>
      <c r="EV253" s="651"/>
      <c r="EW253" s="651">
        <f>EX253</f>
        <v>0</v>
      </c>
      <c r="EX253" s="651">
        <f>EX254</f>
        <v>0</v>
      </c>
      <c r="EY253" s="651">
        <f>EY254</f>
        <v>0</v>
      </c>
      <c r="EZ253" s="651" t="e">
        <f>FA253</f>
        <v>#REF!</v>
      </c>
      <c r="FA253" s="651" t="e">
        <f>FA254+#REF!</f>
        <v>#REF!</v>
      </c>
      <c r="FB253" s="651"/>
      <c r="FC253" s="201">
        <f>FD253+FE253+FF253</f>
        <v>53311.942000000003</v>
      </c>
      <c r="FD253" s="201">
        <f>FD254+FD261</f>
        <v>0</v>
      </c>
      <c r="FE253" s="201">
        <f>EY253+FB253</f>
        <v>0</v>
      </c>
      <c r="FF253" s="201">
        <f>FF254</f>
        <v>53311.942000000003</v>
      </c>
      <c r="FG253" s="201">
        <f>FH253+FI253+FJ253</f>
        <v>53311.942000000003</v>
      </c>
      <c r="FH253" s="201">
        <f>FH254+FH261</f>
        <v>0</v>
      </c>
      <c r="FI253" s="201"/>
      <c r="FJ253" s="152">
        <f>FJ254</f>
        <v>53311.942000000003</v>
      </c>
      <c r="FK253" s="201" t="e">
        <f>FL253+FN253</f>
        <v>#REF!</v>
      </c>
      <c r="FL253" s="201" t="e">
        <f>FL254+#REF!</f>
        <v>#REF!</v>
      </c>
      <c r="FM253" s="201" t="e">
        <f>FM254+#REF!</f>
        <v>#REF!</v>
      </c>
      <c r="FN253" s="201" t="e">
        <f>FN254+#REF!</f>
        <v>#REF!</v>
      </c>
      <c r="FO253" s="201">
        <f>FP253+FQ253+FR253</f>
        <v>53311.942000000003</v>
      </c>
      <c r="FP253" s="201"/>
      <c r="FQ253" s="692"/>
      <c r="FR253" s="152">
        <f>FR254</f>
        <v>53311.942000000003</v>
      </c>
      <c r="FS253" s="152"/>
      <c r="FT253" s="596">
        <f t="shared" si="506"/>
        <v>0</v>
      </c>
      <c r="FU253" s="152"/>
      <c r="FV253" s="596">
        <v>0</v>
      </c>
      <c r="FW253" s="658"/>
      <c r="FX253" s="658"/>
      <c r="FY253" s="658"/>
      <c r="FZ253" s="658"/>
      <c r="GA253" s="152"/>
      <c r="GB253" s="596"/>
      <c r="GC253" s="152"/>
      <c r="GD253" s="596"/>
      <c r="GE253" s="152"/>
      <c r="GF253" s="651"/>
      <c r="GG253" s="152"/>
      <c r="GH253" s="651"/>
      <c r="GI253" s="152">
        <f>GO253</f>
        <v>50593.478999999999</v>
      </c>
      <c r="GJ253" s="596">
        <f t="shared" si="471"/>
        <v>0.94900836664325594</v>
      </c>
      <c r="GK253" s="152">
        <v>0</v>
      </c>
      <c r="GL253" s="596">
        <v>0</v>
      </c>
      <c r="GM253" s="152">
        <v>0</v>
      </c>
      <c r="GN253" s="596">
        <v>0</v>
      </c>
      <c r="GO253" s="152">
        <f>GO254</f>
        <v>50593.478999999999</v>
      </c>
      <c r="GP253" s="596">
        <f t="shared" ref="GP253:GP254" si="579">GO253/FF253</f>
        <v>0.94900836664325594</v>
      </c>
      <c r="GQ253" s="651"/>
      <c r="GR253" s="651"/>
      <c r="GS253" s="651"/>
      <c r="GT253" s="651"/>
      <c r="GU253" s="192"/>
      <c r="GV253" s="192"/>
      <c r="GW253" s="192"/>
      <c r="GX253" s="192"/>
      <c r="GY253" s="192"/>
      <c r="GZ253" s="192"/>
      <c r="HA253" s="192"/>
      <c r="HB253" s="192"/>
      <c r="HC253" s="192"/>
      <c r="HD253" s="192"/>
      <c r="HE253" s="192"/>
      <c r="HF253" s="192"/>
      <c r="HG253" s="224"/>
      <c r="HH253" s="224"/>
      <c r="HI253" s="224"/>
      <c r="HJ253" s="192"/>
      <c r="HK253" s="224"/>
      <c r="HL253" s="224"/>
      <c r="HM253" s="224"/>
      <c r="HN253" s="192"/>
      <c r="HO253" s="224"/>
      <c r="HP253" s="224"/>
      <c r="HQ253" s="224"/>
      <c r="HR253" s="192"/>
      <c r="HS253" s="224"/>
      <c r="HT253" s="224"/>
      <c r="HU253" s="224"/>
      <c r="HV253" s="192"/>
      <c r="HW253" s="224"/>
      <c r="HX253" s="224"/>
      <c r="HY253" s="224"/>
      <c r="HZ253" s="192"/>
      <c r="IA253" s="224"/>
      <c r="IB253" s="224"/>
      <c r="IC253" s="224"/>
      <c r="ID253" s="192"/>
      <c r="IE253" s="655"/>
      <c r="IF253" s="282"/>
      <c r="IG253" s="282"/>
      <c r="IH253" s="282"/>
    </row>
    <row r="254" spans="2:242" s="278" customFormat="1" ht="36.75" customHeight="1" x14ac:dyDescent="0.3">
      <c r="B254" s="115"/>
      <c r="C254" s="116" t="s">
        <v>513</v>
      </c>
      <c r="D254" s="271" t="s">
        <v>324</v>
      </c>
      <c r="E254" s="119">
        <f>F254+G254</f>
        <v>1587746.40555</v>
      </c>
      <c r="F254" s="119">
        <v>1517375.34142</v>
      </c>
      <c r="G254" s="119">
        <v>70371.064129999999</v>
      </c>
      <c r="H254" s="119">
        <f>I254+J254</f>
        <v>15933.507459999993</v>
      </c>
      <c r="I254" s="119">
        <f>L254-F254</f>
        <v>15933.507459999993</v>
      </c>
      <c r="J254" s="119">
        <f>M254-G254</f>
        <v>0</v>
      </c>
      <c r="K254" s="119">
        <f>L254+M254</f>
        <v>1603679.91301</v>
      </c>
      <c r="L254" s="119">
        <v>1533308.8488799999</v>
      </c>
      <c r="M254" s="119">
        <v>70371.064129999999</v>
      </c>
      <c r="N254" s="119">
        <f>O254+P254</f>
        <v>0</v>
      </c>
      <c r="O254" s="119">
        <f>R254-L254</f>
        <v>0</v>
      </c>
      <c r="P254" s="119">
        <f>S254-M254</f>
        <v>0</v>
      </c>
      <c r="Q254" s="119">
        <f>R254+S254</f>
        <v>1603679.91301</v>
      </c>
      <c r="R254" s="119">
        <v>1533308.8488799999</v>
      </c>
      <c r="S254" s="119">
        <v>70371.064129999999</v>
      </c>
      <c r="T254" s="119">
        <f>U254+V254</f>
        <v>2371050.6324999998</v>
      </c>
      <c r="U254" s="119">
        <v>0</v>
      </c>
      <c r="V254" s="119">
        <v>2371050.6324999998</v>
      </c>
      <c r="W254" s="119">
        <f>X254+Y254</f>
        <v>-1600218.0767399999</v>
      </c>
      <c r="X254" s="119">
        <f>AA254-U254</f>
        <v>770832.55576000002</v>
      </c>
      <c r="Y254" s="119">
        <f>AB254-V254</f>
        <v>-2371050.6324999998</v>
      </c>
      <c r="Z254" s="119">
        <f>AA254+AB254</f>
        <v>770832.55576000002</v>
      </c>
      <c r="AA254" s="119">
        <v>770832.55576000002</v>
      </c>
      <c r="AB254" s="119"/>
      <c r="AC254" s="119">
        <f>AD254+AE254</f>
        <v>0</v>
      </c>
      <c r="AD254" s="119">
        <v>0</v>
      </c>
      <c r="AE254" s="119"/>
      <c r="AF254" s="119" t="e">
        <f>AG254+AH254</f>
        <v>#REF!</v>
      </c>
      <c r="AG254" s="119" t="e">
        <f>'[3]2017_с остатком на торги'!$AG$135</f>
        <v>#REF!</v>
      </c>
      <c r="AH254" s="119"/>
      <c r="AI254" s="119"/>
      <c r="AJ254" s="119">
        <v>866627.63382999995</v>
      </c>
      <c r="AK254" s="119">
        <f>Z254-AJ254</f>
        <v>-95795.07806999993</v>
      </c>
      <c r="AL254" s="119" t="e">
        <f>AF254-AJ254</f>
        <v>#REF!</v>
      </c>
      <c r="AM254" s="758"/>
      <c r="AN254" s="119"/>
      <c r="AO254" s="119">
        <v>1</v>
      </c>
      <c r="AP254" s="119">
        <v>687394.10190000001</v>
      </c>
      <c r="AQ254" s="119">
        <v>2263.4012400000001</v>
      </c>
      <c r="AR254" s="119" t="e">
        <f>AF254-AP254-AQ254</f>
        <v>#REF!</v>
      </c>
      <c r="AS254" s="119">
        <f>AT254+AU254</f>
        <v>2387144.5099999998</v>
      </c>
      <c r="AT254" s="119">
        <v>2387144.5099999998</v>
      </c>
      <c r="AU254" s="119"/>
      <c r="AV254" s="119">
        <f>AW254+AX254</f>
        <v>0</v>
      </c>
      <c r="AW254" s="119">
        <v>0</v>
      </c>
      <c r="AX254" s="119">
        <v>0</v>
      </c>
      <c r="AY254" s="119">
        <f>AZ254+BA254</f>
        <v>2387144.5099999998</v>
      </c>
      <c r="AZ254" s="119">
        <f>AT254</f>
        <v>2387144.5099999998</v>
      </c>
      <c r="BA254" s="119"/>
      <c r="BB254" s="119">
        <f>BC254+BD254</f>
        <v>2413209.1</v>
      </c>
      <c r="BC254" s="119">
        <f>2400000+13209.1</f>
        <v>2413209.1</v>
      </c>
      <c r="BD254" s="119"/>
      <c r="BE254" s="119">
        <f>BF254</f>
        <v>-700961.69599999976</v>
      </c>
      <c r="BF254" s="119">
        <f>BI254-AZ254</f>
        <v>-700961.69599999976</v>
      </c>
      <c r="BG254" s="119">
        <f>BX254-BD254</f>
        <v>0</v>
      </c>
      <c r="BH254" s="119">
        <f>BI254+BJ254</f>
        <v>1686182.814</v>
      </c>
      <c r="BI254" s="119">
        <v>1686182.814</v>
      </c>
      <c r="BJ254" s="119"/>
      <c r="BK254" s="119">
        <v>0.75</v>
      </c>
      <c r="BL254" s="272">
        <f>AZ254*BK254</f>
        <v>1790358.3824999998</v>
      </c>
      <c r="BM254" s="272"/>
      <c r="BN254" s="272"/>
      <c r="BO254" s="272"/>
      <c r="BP254" s="272">
        <f>BQ254+BR254</f>
        <v>0</v>
      </c>
      <c r="BQ254" s="272">
        <v>0</v>
      </c>
      <c r="BR254" s="272"/>
      <c r="BS254" s="272">
        <f>BT254+BU254</f>
        <v>1686182.814</v>
      </c>
      <c r="BT254" s="272">
        <f>BI254-BN254-BQ254</f>
        <v>1686182.814</v>
      </c>
      <c r="BU254" s="272"/>
      <c r="BV254" s="119">
        <f>BW254+BX254</f>
        <v>2413209.1</v>
      </c>
      <c r="BW254" s="119">
        <f>2400000+13209.1</f>
        <v>2413209.1</v>
      </c>
      <c r="BX254" s="119"/>
      <c r="BY254" s="119">
        <f>BZ254+CA254</f>
        <v>-832085.13936000003</v>
      </c>
      <c r="BZ254" s="119">
        <f>CC254-BI254</f>
        <v>-832085.13936000003</v>
      </c>
      <c r="CA254" s="119">
        <v>0</v>
      </c>
      <c r="CB254" s="119">
        <f>CC254+CD254</f>
        <v>854097.67463999998</v>
      </c>
      <c r="CC254" s="119">
        <v>854097.67463999998</v>
      </c>
      <c r="CD254" s="119"/>
      <c r="CE254" s="119">
        <v>0.5</v>
      </c>
      <c r="CF254" s="272">
        <f>CC254*CE254</f>
        <v>427048.83731999999</v>
      </c>
      <c r="CG254" s="119"/>
      <c r="CH254" s="119">
        <f>CI254+CJ254</f>
        <v>2391855.4205700001</v>
      </c>
      <c r="CI254" s="119">
        <v>2391855.4205700001</v>
      </c>
      <c r="CJ254" s="119"/>
      <c r="CK254" s="119">
        <f>CL254+CM254</f>
        <v>-836239.08000000007</v>
      </c>
      <c r="CL254" s="119">
        <f>CR254-CH254</f>
        <v>-836239.08000000007</v>
      </c>
      <c r="CM254" s="119">
        <v>0</v>
      </c>
      <c r="CN254" s="119" t="e">
        <f>#REF!+CN273</f>
        <v>#REF!</v>
      </c>
      <c r="CO254" s="119" t="e">
        <f>#REF!+CO273</f>
        <v>#REF!</v>
      </c>
      <c r="CP254" s="119" t="e">
        <f>#REF!+CP273</f>
        <v>#REF!</v>
      </c>
      <c r="CQ254" s="119">
        <f>CR254+CS254</f>
        <v>1555616.34057</v>
      </c>
      <c r="CR254" s="119">
        <v>1555616.34057</v>
      </c>
      <c r="CS254" s="119"/>
      <c r="CT254" s="119">
        <f>CU254+CV254</f>
        <v>-557780.27463999996</v>
      </c>
      <c r="CU254" s="119">
        <f>CX254-CC254</f>
        <v>-557780.27463999996</v>
      </c>
      <c r="CV254" s="119"/>
      <c r="CW254" s="119">
        <f>CX254</f>
        <v>296317.40000000002</v>
      </c>
      <c r="CX254" s="119">
        <v>296317.40000000002</v>
      </c>
      <c r="CY254" s="119"/>
      <c r="CZ254" s="119"/>
      <c r="DA254" s="119"/>
      <c r="DB254" s="119"/>
      <c r="DC254" s="119"/>
      <c r="DD254" s="119"/>
      <c r="DE254" s="119"/>
      <c r="DF254" s="119">
        <f>DG254</f>
        <v>0</v>
      </c>
      <c r="DG254" s="119">
        <v>0</v>
      </c>
      <c r="DH254" s="119"/>
      <c r="DI254" s="119">
        <f>DJ254</f>
        <v>296317.40000000002</v>
      </c>
      <c r="DJ254" s="119">
        <v>296317.40000000002</v>
      </c>
      <c r="DK254" s="119"/>
      <c r="DL254" s="119">
        <f>DM254</f>
        <v>0</v>
      </c>
      <c r="DM254" s="119">
        <v>0</v>
      </c>
      <c r="DN254" s="119"/>
      <c r="DO254" s="119">
        <f>DP254</f>
        <v>0</v>
      </c>
      <c r="DP254" s="119">
        <v>0</v>
      </c>
      <c r="DQ254" s="119"/>
      <c r="DR254" s="119">
        <f>DS254</f>
        <v>296317.40000000002</v>
      </c>
      <c r="DS254" s="119">
        <f>DJ254-DM254-DP254</f>
        <v>296317.40000000002</v>
      </c>
      <c r="DT254" s="119"/>
      <c r="DU254" s="119">
        <f>DV254</f>
        <v>0</v>
      </c>
      <c r="DV254" s="119">
        <v>0</v>
      </c>
      <c r="DW254" s="119"/>
      <c r="DX254" s="119"/>
      <c r="DY254" s="119"/>
      <c r="DZ254" s="119"/>
      <c r="EA254" s="119"/>
      <c r="EB254" s="119"/>
      <c r="EC254" s="119"/>
      <c r="ED254" s="119">
        <f>EE254</f>
        <v>0</v>
      </c>
      <c r="EE254" s="119">
        <v>0</v>
      </c>
      <c r="EF254" s="119"/>
      <c r="EG254" s="119">
        <f>EH254</f>
        <v>0</v>
      </c>
      <c r="EH254" s="119">
        <f>DX254+EA254</f>
        <v>0</v>
      </c>
      <c r="EI254" s="119"/>
      <c r="EJ254" s="119"/>
      <c r="EK254" s="119">
        <f>EL254-EH254</f>
        <v>0</v>
      </c>
      <c r="EL254" s="119"/>
      <c r="EM254" s="119"/>
      <c r="EN254" s="119"/>
      <c r="EO254" s="119">
        <f>EP254-EL254</f>
        <v>0</v>
      </c>
      <c r="EP254" s="119"/>
      <c r="EQ254" s="119"/>
      <c r="ER254" s="119"/>
      <c r="ES254" s="118">
        <f>ET254</f>
        <v>0</v>
      </c>
      <c r="ET254" s="119">
        <v>0</v>
      </c>
      <c r="EU254" s="119"/>
      <c r="EV254" s="119"/>
      <c r="EW254" s="119">
        <f>EX254</f>
        <v>0</v>
      </c>
      <c r="EX254" s="119">
        <v>0</v>
      </c>
      <c r="EY254" s="119"/>
      <c r="EZ254" s="119">
        <f>FA254</f>
        <v>0</v>
      </c>
      <c r="FA254" s="119">
        <v>0</v>
      </c>
      <c r="FB254" s="119"/>
      <c r="FC254" s="118">
        <f>FF254</f>
        <v>53311.942000000003</v>
      </c>
      <c r="FD254" s="118">
        <f>EX254+FA254</f>
        <v>0</v>
      </c>
      <c r="FE254" s="118"/>
      <c r="FF254" s="118">
        <v>53311.942000000003</v>
      </c>
      <c r="FG254" s="118">
        <f>FH254</f>
        <v>0</v>
      </c>
      <c r="FH254" s="118">
        <v>0</v>
      </c>
      <c r="FI254" s="118"/>
      <c r="FJ254" s="118">
        <f>FR254</f>
        <v>53311.942000000003</v>
      </c>
      <c r="FK254" s="118">
        <f>FL254-FH254</f>
        <v>0</v>
      </c>
      <c r="FL254" s="118"/>
      <c r="FM254" s="118"/>
      <c r="FN254" s="118"/>
      <c r="FO254" s="118">
        <f>FR254</f>
        <v>53311.942000000003</v>
      </c>
      <c r="FP254" s="693"/>
      <c r="FQ254" s="163"/>
      <c r="FR254" s="118">
        <v>53311.942000000003</v>
      </c>
      <c r="FS254" s="118"/>
      <c r="FT254" s="587">
        <f t="shared" si="506"/>
        <v>0</v>
      </c>
      <c r="FU254" s="118"/>
      <c r="FV254" s="587">
        <v>0</v>
      </c>
      <c r="FW254" s="119"/>
      <c r="FX254" s="119"/>
      <c r="FY254" s="119"/>
      <c r="FZ254" s="119"/>
      <c r="GA254" s="118"/>
      <c r="GB254" s="587"/>
      <c r="GC254" s="118"/>
      <c r="GD254" s="587"/>
      <c r="GE254" s="118"/>
      <c r="GF254" s="119"/>
      <c r="GG254" s="118"/>
      <c r="GH254" s="119"/>
      <c r="GI254" s="118">
        <f>GO254</f>
        <v>50593.478999999999</v>
      </c>
      <c r="GJ254" s="587">
        <f t="shared" si="471"/>
        <v>0.94900836664325594</v>
      </c>
      <c r="GK254" s="118"/>
      <c r="GL254" s="587">
        <v>0</v>
      </c>
      <c r="GM254" s="118"/>
      <c r="GN254" s="587"/>
      <c r="GO254" s="690">
        <v>50593.478999999999</v>
      </c>
      <c r="GP254" s="587">
        <f t="shared" si="579"/>
        <v>0.94900836664325594</v>
      </c>
      <c r="GQ254" s="119"/>
      <c r="GR254" s="119"/>
      <c r="GS254" s="119"/>
      <c r="GT254" s="119"/>
      <c r="GU254" s="164"/>
      <c r="GV254" s="164"/>
      <c r="GW254" s="164"/>
      <c r="GX254" s="181"/>
      <c r="GY254" s="181"/>
      <c r="GZ254" s="181"/>
      <c r="HA254" s="181"/>
      <c r="HB254" s="181"/>
      <c r="HC254" s="181"/>
      <c r="HD254" s="181"/>
      <c r="HE254" s="181"/>
      <c r="HF254" s="181"/>
      <c r="HG254" s="164"/>
      <c r="HH254" s="164"/>
      <c r="HI254" s="164"/>
      <c r="HJ254" s="181"/>
      <c r="HK254" s="164"/>
      <c r="HL254" s="164"/>
      <c r="HM254" s="164"/>
      <c r="HN254" s="181"/>
      <c r="HO254" s="164"/>
      <c r="HP254" s="164"/>
      <c r="HQ254" s="164"/>
      <c r="HR254" s="181"/>
      <c r="HS254" s="164"/>
      <c r="HT254" s="164"/>
      <c r="HU254" s="164"/>
      <c r="HV254" s="181"/>
      <c r="HW254" s="164"/>
      <c r="HX254" s="164"/>
      <c r="HY254" s="164"/>
      <c r="HZ254" s="181"/>
      <c r="IA254" s="164"/>
      <c r="IB254" s="164"/>
      <c r="IC254" s="164"/>
      <c r="ID254" s="181"/>
      <c r="IE254" s="200"/>
      <c r="IF254" s="277"/>
      <c r="IG254" s="277"/>
      <c r="IH254" s="277"/>
    </row>
    <row r="255" spans="2:242" s="652" customFormat="1" ht="112.5" customHeight="1" x14ac:dyDescent="0.25">
      <c r="B255" s="149" t="s">
        <v>112</v>
      </c>
      <c r="C255" s="107" t="s">
        <v>318</v>
      </c>
      <c r="D255" s="107"/>
      <c r="E255" s="651"/>
      <c r="F255" s="651"/>
      <c r="G255" s="651"/>
      <c r="H255" s="651"/>
      <c r="I255" s="651"/>
      <c r="J255" s="651"/>
      <c r="K255" s="651"/>
      <c r="L255" s="651"/>
      <c r="M255" s="651"/>
      <c r="N255" s="651"/>
      <c r="O255" s="651"/>
      <c r="P255" s="651"/>
      <c r="Q255" s="651"/>
      <c r="R255" s="651"/>
      <c r="S255" s="651"/>
      <c r="T255" s="651"/>
      <c r="U255" s="651"/>
      <c r="V255" s="651"/>
      <c r="W255" s="651"/>
      <c r="X255" s="651"/>
      <c r="Y255" s="651"/>
      <c r="Z255" s="651"/>
      <c r="AA255" s="651"/>
      <c r="AB255" s="651"/>
      <c r="AC255" s="651"/>
      <c r="AD255" s="651"/>
      <c r="AE255" s="651"/>
      <c r="AF255" s="651"/>
      <c r="AG255" s="651"/>
      <c r="AH255" s="651"/>
      <c r="AI255" s="651"/>
      <c r="AJ255" s="651"/>
      <c r="AK255" s="268"/>
      <c r="AL255" s="268"/>
      <c r="AM255" s="656"/>
      <c r="AN255" s="269"/>
      <c r="AO255" s="192"/>
      <c r="AP255" s="154"/>
      <c r="AQ255" s="154"/>
      <c r="AR255" s="154"/>
      <c r="AS255" s="651"/>
      <c r="AT255" s="651"/>
      <c r="AU255" s="651"/>
      <c r="AV255" s="651"/>
      <c r="AW255" s="651"/>
      <c r="AX255" s="651"/>
      <c r="AY255" s="651"/>
      <c r="AZ255" s="651"/>
      <c r="BA255" s="651"/>
      <c r="BB255" s="651"/>
      <c r="BC255" s="651"/>
      <c r="BD255" s="651"/>
      <c r="BE255" s="651"/>
      <c r="BF255" s="651"/>
      <c r="BG255" s="651"/>
      <c r="BH255" s="651"/>
      <c r="BI255" s="651"/>
      <c r="BJ255" s="651"/>
      <c r="BK255" s="192"/>
      <c r="BL255" s="651"/>
      <c r="BM255" s="651"/>
      <c r="BN255" s="651"/>
      <c r="BO255" s="651"/>
      <c r="BP255" s="651"/>
      <c r="BQ255" s="651"/>
      <c r="BR255" s="651"/>
      <c r="BS255" s="651"/>
      <c r="BT255" s="651"/>
      <c r="BU255" s="651"/>
      <c r="BV255" s="651"/>
      <c r="BW255" s="651"/>
      <c r="BX255" s="651"/>
      <c r="BY255" s="651"/>
      <c r="BZ255" s="651"/>
      <c r="CA255" s="651"/>
      <c r="CB255" s="651"/>
      <c r="CC255" s="651"/>
      <c r="CD255" s="651"/>
      <c r="CE255" s="192"/>
      <c r="CF255" s="651"/>
      <c r="CG255" s="107"/>
      <c r="CH255" s="651"/>
      <c r="CI255" s="651"/>
      <c r="CJ255" s="651"/>
      <c r="CK255" s="651"/>
      <c r="CL255" s="651"/>
      <c r="CM255" s="651"/>
      <c r="CN255" s="192"/>
      <c r="CO255" s="192"/>
      <c r="CP255" s="192"/>
      <c r="CQ255" s="651"/>
      <c r="CR255" s="651"/>
      <c r="CS255" s="651"/>
      <c r="CT255" s="651"/>
      <c r="CU255" s="651"/>
      <c r="CV255" s="651"/>
      <c r="CW255" s="651"/>
      <c r="CX255" s="651"/>
      <c r="CY255" s="651"/>
      <c r="CZ255" s="651"/>
      <c r="DA255" s="651"/>
      <c r="DB255" s="651"/>
      <c r="DC255" s="651"/>
      <c r="DD255" s="651"/>
      <c r="DE255" s="651"/>
      <c r="DF255" s="651"/>
      <c r="DG255" s="651"/>
      <c r="DH255" s="651"/>
      <c r="DI255" s="651"/>
      <c r="DJ255" s="651"/>
      <c r="DK255" s="651"/>
      <c r="DL255" s="651"/>
      <c r="DM255" s="651"/>
      <c r="DN255" s="651"/>
      <c r="DO255" s="651"/>
      <c r="DP255" s="651"/>
      <c r="DQ255" s="651"/>
      <c r="DR255" s="651"/>
      <c r="DS255" s="651"/>
      <c r="DT255" s="651"/>
      <c r="DU255" s="651"/>
      <c r="DV255" s="651"/>
      <c r="DW255" s="651"/>
      <c r="DX255" s="651"/>
      <c r="DY255" s="651"/>
      <c r="DZ255" s="651"/>
      <c r="EA255" s="651"/>
      <c r="EB255" s="651"/>
      <c r="EC255" s="651"/>
      <c r="ED255" s="651"/>
      <c r="EE255" s="651"/>
      <c r="EF255" s="651"/>
      <c r="EG255" s="192"/>
      <c r="EH255" s="192"/>
      <c r="EI255" s="192"/>
      <c r="EJ255" s="651"/>
      <c r="EK255" s="192"/>
      <c r="EL255" s="192"/>
      <c r="EM255" s="192"/>
      <c r="EN255" s="192"/>
      <c r="EO255" s="192"/>
      <c r="EP255" s="192"/>
      <c r="EQ255" s="192"/>
      <c r="ER255" s="192"/>
      <c r="ES255" s="192"/>
      <c r="ET255" s="192"/>
      <c r="EU255" s="651"/>
      <c r="EV255" s="651"/>
      <c r="EW255" s="651"/>
      <c r="EX255" s="651"/>
      <c r="EY255" s="651"/>
      <c r="EZ255" s="651"/>
      <c r="FA255" s="651"/>
      <c r="FB255" s="651"/>
      <c r="FC255" s="201">
        <f>FD255</f>
        <v>349467.49809000001</v>
      </c>
      <c r="FD255" s="201">
        <f>FD256</f>
        <v>349467.49809000001</v>
      </c>
      <c r="FE255" s="201"/>
      <c r="FF255" s="201"/>
      <c r="FG255" s="201">
        <f>FH255</f>
        <v>3719.8261200000106</v>
      </c>
      <c r="FH255" s="201">
        <f>FH256</f>
        <v>3719.8261200000106</v>
      </c>
      <c r="FI255" s="201"/>
      <c r="FJ255" s="152"/>
      <c r="FK255" s="201"/>
      <c r="FL255" s="201"/>
      <c r="FM255" s="201"/>
      <c r="FN255" s="201"/>
      <c r="FO255" s="201">
        <f>FP255</f>
        <v>353187.32420999999</v>
      </c>
      <c r="FP255" s="201">
        <f>FP256</f>
        <v>353187.32420999999</v>
      </c>
      <c r="FQ255" s="201"/>
      <c r="FR255" s="152"/>
      <c r="FS255" s="152">
        <f>FU255</f>
        <v>181321.18040000001</v>
      </c>
      <c r="FT255" s="596">
        <f t="shared" si="506"/>
        <v>0.5188499113394045</v>
      </c>
      <c r="FU255" s="152">
        <f>FU256</f>
        <v>181321.18040000001</v>
      </c>
      <c r="FV255" s="596">
        <f t="shared" si="507"/>
        <v>0.5188499113394045</v>
      </c>
      <c r="FW255" s="658"/>
      <c r="FX255" s="658"/>
      <c r="FY255" s="658"/>
      <c r="FZ255" s="658"/>
      <c r="GA255" s="152">
        <f>GC255</f>
        <v>127770.77039999999</v>
      </c>
      <c r="GB255" s="596">
        <f>GA255/FC255</f>
        <v>0.36561560402133475</v>
      </c>
      <c r="GC255" s="152">
        <f>GC256</f>
        <v>127770.77039999999</v>
      </c>
      <c r="GD255" s="574">
        <f>GC255/FD255</f>
        <v>0.36561560402133475</v>
      </c>
      <c r="GE255" s="152"/>
      <c r="GF255" s="651"/>
      <c r="GG255" s="152"/>
      <c r="GH255" s="651"/>
      <c r="GI255" s="152">
        <f>GK255</f>
        <v>349467.49809000001</v>
      </c>
      <c r="GJ255" s="574">
        <f t="shared" si="471"/>
        <v>1</v>
      </c>
      <c r="GK255" s="152">
        <f>GK256</f>
        <v>349467.49809000001</v>
      </c>
      <c r="GL255" s="574">
        <f t="shared" si="472"/>
        <v>1</v>
      </c>
      <c r="GM255" s="152"/>
      <c r="GN255" s="574"/>
      <c r="GO255" s="152"/>
      <c r="GP255" s="574"/>
      <c r="GQ255" s="651"/>
      <c r="GR255" s="651"/>
      <c r="GS255" s="651"/>
      <c r="GT255" s="651"/>
      <c r="GU255" s="192">
        <f>GV255</f>
        <v>0</v>
      </c>
      <c r="GV255" s="192">
        <f>GV256</f>
        <v>0</v>
      </c>
      <c r="GW255" s="192"/>
      <c r="GX255" s="651"/>
      <c r="GY255" s="651"/>
      <c r="GZ255" s="651"/>
      <c r="HA255" s="651"/>
      <c r="HB255" s="651"/>
      <c r="HC255" s="651"/>
      <c r="HD255" s="651"/>
      <c r="HE255" s="651"/>
      <c r="HF255" s="651"/>
      <c r="HG255" s="192">
        <f>HH255</f>
        <v>141697.15833999999</v>
      </c>
      <c r="HH255" s="192">
        <f>HH256</f>
        <v>141697.15833999999</v>
      </c>
      <c r="HI255" s="192"/>
      <c r="HJ255" s="651"/>
      <c r="HK255" s="192"/>
      <c r="HL255" s="192"/>
      <c r="HM255" s="192"/>
      <c r="HN255" s="651"/>
      <c r="HO255" s="192">
        <f>HP255</f>
        <v>141697.15833999999</v>
      </c>
      <c r="HP255" s="192">
        <f>HP256</f>
        <v>141697.15833999999</v>
      </c>
      <c r="HQ255" s="192"/>
      <c r="HR255" s="651"/>
      <c r="HS255" s="192">
        <f>HT255</f>
        <v>0</v>
      </c>
      <c r="HT255" s="192">
        <f>HT256</f>
        <v>0</v>
      </c>
      <c r="HU255" s="192"/>
      <c r="HV255" s="651"/>
      <c r="HW255" s="192">
        <f>HX255</f>
        <v>132291.77691000002</v>
      </c>
      <c r="HX255" s="192">
        <f>HX256</f>
        <v>132291.77691000002</v>
      </c>
      <c r="HY255" s="192"/>
      <c r="HZ255" s="651"/>
      <c r="IA255" s="192">
        <f>IB255</f>
        <v>132291.77691000002</v>
      </c>
      <c r="IB255" s="192">
        <f>IB256</f>
        <v>132291.77691000002</v>
      </c>
      <c r="IC255" s="192"/>
      <c r="ID255" s="651"/>
      <c r="IE255" s="653"/>
      <c r="IF255" s="654"/>
      <c r="IG255" s="654"/>
      <c r="IH255" s="654"/>
    </row>
    <row r="256" spans="2:242" s="184" customFormat="1" ht="100.5" customHeight="1" x14ac:dyDescent="0.25">
      <c r="B256" s="178"/>
      <c r="C256" s="650" t="s">
        <v>332</v>
      </c>
      <c r="D256" s="273"/>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648"/>
      <c r="AN256" s="181"/>
      <c r="AO256" s="181"/>
      <c r="AP256" s="181"/>
      <c r="AQ256" s="181"/>
      <c r="AR256" s="181"/>
      <c r="AS256" s="181"/>
      <c r="AT256" s="181"/>
      <c r="AU256" s="181"/>
      <c r="AV256" s="181"/>
      <c r="AW256" s="181"/>
      <c r="AX256" s="181"/>
      <c r="AY256" s="181"/>
      <c r="AZ256" s="181"/>
      <c r="BA256" s="181"/>
      <c r="BB256" s="181"/>
      <c r="BC256" s="181"/>
      <c r="BD256" s="181"/>
      <c r="BE256" s="181"/>
      <c r="BF256" s="181"/>
      <c r="BG256" s="181"/>
      <c r="BH256" s="181"/>
      <c r="BI256" s="181"/>
      <c r="BJ256" s="181"/>
      <c r="BK256" s="181"/>
      <c r="BL256" s="105"/>
      <c r="BM256" s="105"/>
      <c r="BN256" s="105"/>
      <c r="BO256" s="105"/>
      <c r="BP256" s="105"/>
      <c r="BQ256" s="105"/>
      <c r="BR256" s="105"/>
      <c r="BS256" s="105"/>
      <c r="BT256" s="105"/>
      <c r="BU256" s="105"/>
      <c r="BV256" s="181"/>
      <c r="BW256" s="181"/>
      <c r="BX256" s="181"/>
      <c r="BY256" s="181"/>
      <c r="BZ256" s="181"/>
      <c r="CA256" s="181"/>
      <c r="CB256" s="181"/>
      <c r="CC256" s="181"/>
      <c r="CD256" s="181"/>
      <c r="CE256" s="181"/>
      <c r="CF256" s="105"/>
      <c r="CG256" s="181"/>
      <c r="CH256" s="181"/>
      <c r="CI256" s="181"/>
      <c r="CJ256" s="181"/>
      <c r="CK256" s="181"/>
      <c r="CL256" s="181"/>
      <c r="CM256" s="181"/>
      <c r="CN256" s="181"/>
      <c r="CO256" s="181"/>
      <c r="CP256" s="181"/>
      <c r="CQ256" s="181"/>
      <c r="CR256" s="181"/>
      <c r="CS256" s="181"/>
      <c r="CT256" s="181"/>
      <c r="CU256" s="181"/>
      <c r="CV256" s="181"/>
      <c r="CW256" s="181"/>
      <c r="CX256" s="181"/>
      <c r="CY256" s="181"/>
      <c r="CZ256" s="181"/>
      <c r="DA256" s="181"/>
      <c r="DB256" s="181"/>
      <c r="DC256" s="181"/>
      <c r="DD256" s="181"/>
      <c r="DE256" s="181"/>
      <c r="DF256" s="181"/>
      <c r="DG256" s="181"/>
      <c r="DH256" s="181"/>
      <c r="DI256" s="181"/>
      <c r="DJ256" s="181"/>
      <c r="DK256" s="181"/>
      <c r="DL256" s="181"/>
      <c r="DM256" s="181"/>
      <c r="DN256" s="181"/>
      <c r="DO256" s="181"/>
      <c r="DP256" s="181"/>
      <c r="DQ256" s="181"/>
      <c r="DR256" s="181"/>
      <c r="DS256" s="181"/>
      <c r="DT256" s="181"/>
      <c r="DU256" s="181"/>
      <c r="DV256" s="181"/>
      <c r="DW256" s="181"/>
      <c r="DX256" s="181"/>
      <c r="DY256" s="181"/>
      <c r="DZ256" s="181"/>
      <c r="EA256" s="181"/>
      <c r="EB256" s="181"/>
      <c r="EC256" s="181"/>
      <c r="ED256" s="181"/>
      <c r="EE256" s="181"/>
      <c r="EF256" s="181"/>
      <c r="EG256" s="181"/>
      <c r="EH256" s="181"/>
      <c r="EI256" s="181"/>
      <c r="EJ256" s="181"/>
      <c r="EK256" s="181"/>
      <c r="EL256" s="181"/>
      <c r="EM256" s="181"/>
      <c r="EN256" s="181"/>
      <c r="EO256" s="181"/>
      <c r="EP256" s="181"/>
      <c r="EQ256" s="181"/>
      <c r="ER256" s="181"/>
      <c r="ES256" s="181"/>
      <c r="ET256" s="181"/>
      <c r="EU256" s="181"/>
      <c r="EV256" s="181"/>
      <c r="EW256" s="181"/>
      <c r="EX256" s="181"/>
      <c r="EY256" s="181"/>
      <c r="EZ256" s="181"/>
      <c r="FA256" s="181"/>
      <c r="FB256" s="181"/>
      <c r="FC256" s="103">
        <f>FD256</f>
        <v>349467.49809000001</v>
      </c>
      <c r="FD256" s="103">
        <f>FD257+FD258</f>
        <v>349467.49809000001</v>
      </c>
      <c r="FE256" s="180"/>
      <c r="FF256" s="180"/>
      <c r="FG256" s="180">
        <f>FH256</f>
        <v>3719.8261200000106</v>
      </c>
      <c r="FH256" s="180">
        <f>FH257+FH258</f>
        <v>3719.8261200000106</v>
      </c>
      <c r="FI256" s="180"/>
      <c r="FJ256" s="180"/>
      <c r="FK256" s="180"/>
      <c r="FL256" s="180"/>
      <c r="FM256" s="180"/>
      <c r="FN256" s="180"/>
      <c r="FO256" s="180">
        <f>FP256</f>
        <v>353187.32420999999</v>
      </c>
      <c r="FP256" s="180">
        <f>FP257+FP258</f>
        <v>353187.32420999999</v>
      </c>
      <c r="FQ256" s="180"/>
      <c r="FR256" s="180"/>
      <c r="FS256" s="103">
        <f>FU256</f>
        <v>181321.18040000001</v>
      </c>
      <c r="FT256" s="577">
        <f t="shared" si="506"/>
        <v>0.5188499113394045</v>
      </c>
      <c r="FU256" s="103">
        <f>FU257+FU258</f>
        <v>181321.18040000001</v>
      </c>
      <c r="FV256" s="577">
        <f t="shared" si="507"/>
        <v>0.5188499113394045</v>
      </c>
      <c r="FW256" s="181"/>
      <c r="FX256" s="181"/>
      <c r="FY256" s="181"/>
      <c r="FZ256" s="181"/>
      <c r="GA256" s="103">
        <f>GC256</f>
        <v>127770.77039999999</v>
      </c>
      <c r="GB256" s="577">
        <f>GA256/FC256</f>
        <v>0.36561560402133475</v>
      </c>
      <c r="GC256" s="103">
        <f>GC258+GC257</f>
        <v>127770.77039999999</v>
      </c>
      <c r="GD256" s="577">
        <f>GC256/FD256</f>
        <v>0.36561560402133475</v>
      </c>
      <c r="GE256" s="180"/>
      <c r="GF256" s="181"/>
      <c r="GG256" s="181"/>
      <c r="GH256" s="181"/>
      <c r="GI256" s="103">
        <f>GK256</f>
        <v>349467.49809000001</v>
      </c>
      <c r="GJ256" s="577">
        <f t="shared" si="471"/>
        <v>1</v>
      </c>
      <c r="GK256" s="103">
        <f>GK257+GK258</f>
        <v>349467.49809000001</v>
      </c>
      <c r="GL256" s="577">
        <f t="shared" si="472"/>
        <v>1</v>
      </c>
      <c r="GM256" s="180"/>
      <c r="GN256" s="577"/>
      <c r="GO256" s="180"/>
      <c r="GP256" s="577"/>
      <c r="GQ256" s="181"/>
      <c r="GR256" s="181"/>
      <c r="GS256" s="181"/>
      <c r="GT256" s="181"/>
      <c r="GU256" s="181">
        <f>GV256</f>
        <v>0</v>
      </c>
      <c r="GV256" s="181">
        <f>GV257+GV258</f>
        <v>0</v>
      </c>
      <c r="GW256" s="181"/>
      <c r="GX256" s="181"/>
      <c r="GY256" s="181"/>
      <c r="GZ256" s="181"/>
      <c r="HA256" s="181"/>
      <c r="HB256" s="181"/>
      <c r="HC256" s="181"/>
      <c r="HD256" s="181"/>
      <c r="HE256" s="181"/>
      <c r="HF256" s="181"/>
      <c r="HG256" s="181">
        <f>HH256</f>
        <v>141697.15833999999</v>
      </c>
      <c r="HH256" s="181">
        <f>HH257+HH258</f>
        <v>141697.15833999999</v>
      </c>
      <c r="HI256" s="181"/>
      <c r="HJ256" s="181"/>
      <c r="HK256" s="181"/>
      <c r="HL256" s="181"/>
      <c r="HM256" s="181"/>
      <c r="HN256" s="181"/>
      <c r="HO256" s="181">
        <f>HP256</f>
        <v>141697.15833999999</v>
      </c>
      <c r="HP256" s="181">
        <f>HP257+HP258</f>
        <v>141697.15833999999</v>
      </c>
      <c r="HQ256" s="181"/>
      <c r="HR256" s="181"/>
      <c r="HS256" s="181">
        <f>HT256</f>
        <v>0</v>
      </c>
      <c r="HT256" s="181">
        <f>HT257+HT258</f>
        <v>0</v>
      </c>
      <c r="HU256" s="181"/>
      <c r="HV256" s="181"/>
      <c r="HW256" s="181">
        <f>HX256</f>
        <v>132291.77691000002</v>
      </c>
      <c r="HX256" s="181">
        <f>HX257+HX258</f>
        <v>132291.77691000002</v>
      </c>
      <c r="HY256" s="181"/>
      <c r="HZ256" s="181"/>
      <c r="IA256" s="181">
        <f>IB256</f>
        <v>132291.77691000002</v>
      </c>
      <c r="IB256" s="181">
        <f>IB257+IB258</f>
        <v>132291.77691000002</v>
      </c>
      <c r="IC256" s="181"/>
      <c r="ID256" s="181"/>
      <c r="IE256" s="200"/>
      <c r="IF256" s="183"/>
      <c r="IG256" s="183"/>
      <c r="IH256" s="183"/>
    </row>
    <row r="257" spans="2:249" s="171" customFormat="1" ht="35.25" hidden="1" customHeight="1" x14ac:dyDescent="0.25">
      <c r="B257" s="160"/>
      <c r="C257" s="174" t="s">
        <v>323</v>
      </c>
      <c r="D257" s="255"/>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c r="AK257" s="164"/>
      <c r="AL257" s="164"/>
      <c r="AM257" s="688"/>
      <c r="AN257" s="164"/>
      <c r="AO257" s="164"/>
      <c r="AP257" s="164"/>
      <c r="AQ257" s="164"/>
      <c r="AR257" s="164"/>
      <c r="AS257" s="164"/>
      <c r="AT257" s="164"/>
      <c r="AU257" s="164"/>
      <c r="AV257" s="164"/>
      <c r="AW257" s="164"/>
      <c r="AX257" s="164"/>
      <c r="AY257" s="164"/>
      <c r="AZ257" s="164"/>
      <c r="BA257" s="164"/>
      <c r="BB257" s="164"/>
      <c r="BC257" s="164"/>
      <c r="BD257" s="164"/>
      <c r="BE257" s="164"/>
      <c r="BF257" s="164"/>
      <c r="BG257" s="164"/>
      <c r="BH257" s="164"/>
      <c r="BI257" s="164"/>
      <c r="BJ257" s="164"/>
      <c r="BK257" s="164"/>
      <c r="BL257" s="144"/>
      <c r="BM257" s="144"/>
      <c r="BN257" s="144"/>
      <c r="BO257" s="144"/>
      <c r="BP257" s="144"/>
      <c r="BQ257" s="144"/>
      <c r="BR257" s="144"/>
      <c r="BS257" s="144"/>
      <c r="BT257" s="144"/>
      <c r="BU257" s="144"/>
      <c r="BV257" s="164"/>
      <c r="BW257" s="164"/>
      <c r="BX257" s="164"/>
      <c r="BY257" s="164"/>
      <c r="BZ257" s="164"/>
      <c r="CA257" s="164"/>
      <c r="CB257" s="164"/>
      <c r="CC257" s="164"/>
      <c r="CD257" s="164"/>
      <c r="CE257" s="164"/>
      <c r="CF257" s="144"/>
      <c r="CG257" s="164"/>
      <c r="CH257" s="164"/>
      <c r="CI257" s="164"/>
      <c r="CJ257" s="164"/>
      <c r="CK257" s="164"/>
      <c r="CL257" s="164"/>
      <c r="CM257" s="164"/>
      <c r="CN257" s="164"/>
      <c r="CO257" s="164"/>
      <c r="CP257" s="164"/>
      <c r="CQ257" s="164"/>
      <c r="CR257" s="164"/>
      <c r="CS257" s="164"/>
      <c r="CT257" s="164"/>
      <c r="CU257" s="164"/>
      <c r="CV257" s="164"/>
      <c r="CW257" s="164"/>
      <c r="CX257" s="164"/>
      <c r="CY257" s="164"/>
      <c r="CZ257" s="164"/>
      <c r="DA257" s="164"/>
      <c r="DB257" s="164"/>
      <c r="DC257" s="164"/>
      <c r="DD257" s="164"/>
      <c r="DE257" s="164"/>
      <c r="DF257" s="164"/>
      <c r="DG257" s="164"/>
      <c r="DH257" s="164"/>
      <c r="DI257" s="164"/>
      <c r="DJ257" s="164"/>
      <c r="DK257" s="164"/>
      <c r="DL257" s="164"/>
      <c r="DM257" s="164"/>
      <c r="DN257" s="164"/>
      <c r="DO257" s="164"/>
      <c r="DP257" s="164"/>
      <c r="DQ257" s="164"/>
      <c r="DR257" s="164"/>
      <c r="DS257" s="164"/>
      <c r="DT257" s="164"/>
      <c r="DU257" s="164"/>
      <c r="DV257" s="164"/>
      <c r="DW257" s="164"/>
      <c r="DX257" s="164"/>
      <c r="DY257" s="164"/>
      <c r="DZ257" s="164"/>
      <c r="EA257" s="164"/>
      <c r="EB257" s="164"/>
      <c r="EC257" s="164"/>
      <c r="ED257" s="164"/>
      <c r="EE257" s="164"/>
      <c r="EF257" s="164"/>
      <c r="EG257" s="164"/>
      <c r="EH257" s="164"/>
      <c r="EI257" s="164"/>
      <c r="EJ257" s="164"/>
      <c r="EK257" s="164"/>
      <c r="EL257" s="164"/>
      <c r="EM257" s="164"/>
      <c r="EN257" s="164"/>
      <c r="EO257" s="164"/>
      <c r="EP257" s="164"/>
      <c r="EQ257" s="164"/>
      <c r="ER257" s="164"/>
      <c r="ES257" s="164"/>
      <c r="ET257" s="164"/>
      <c r="EU257" s="164"/>
      <c r="EV257" s="164"/>
      <c r="EW257" s="164"/>
      <c r="EX257" s="164"/>
      <c r="EY257" s="164"/>
      <c r="EZ257" s="164"/>
      <c r="FA257" s="164"/>
      <c r="FB257" s="164"/>
      <c r="FC257" s="163">
        <f>FD257</f>
        <v>337971.35162999999</v>
      </c>
      <c r="FD257" s="163">
        <v>337971.35162999999</v>
      </c>
      <c r="FE257" s="163"/>
      <c r="FF257" s="163"/>
      <c r="FG257" s="163">
        <f>FH257</f>
        <v>328.64837000000989</v>
      </c>
      <c r="FH257" s="163">
        <f>FP257-FD257</f>
        <v>328.64837000000989</v>
      </c>
      <c r="FI257" s="163"/>
      <c r="FJ257" s="163"/>
      <c r="FK257" s="163"/>
      <c r="FL257" s="163"/>
      <c r="FM257" s="163"/>
      <c r="FN257" s="163"/>
      <c r="FO257" s="163">
        <f>FP257</f>
        <v>338300</v>
      </c>
      <c r="FP257" s="163">
        <v>338300</v>
      </c>
      <c r="FQ257" s="163"/>
      <c r="FR257" s="163"/>
      <c r="FS257" s="163">
        <f>FU257</f>
        <v>171353.53400000001</v>
      </c>
      <c r="FT257" s="575">
        <f t="shared" si="506"/>
        <v>0.50700609141449438</v>
      </c>
      <c r="FU257" s="163">
        <v>171353.53400000001</v>
      </c>
      <c r="FV257" s="575">
        <f t="shared" si="507"/>
        <v>0.50700609141449438</v>
      </c>
      <c r="FW257" s="164"/>
      <c r="FX257" s="164"/>
      <c r="FY257" s="164"/>
      <c r="FZ257" s="164"/>
      <c r="GA257" s="163">
        <f>GC257</f>
        <v>117803.124</v>
      </c>
      <c r="GB257" s="575">
        <f>GA257/FC257</f>
        <v>0.34855949603967323</v>
      </c>
      <c r="GC257" s="163">
        <v>117803.124</v>
      </c>
      <c r="GD257" s="575">
        <f>GC257/FD257</f>
        <v>0.34855949603967323</v>
      </c>
      <c r="GE257" s="163"/>
      <c r="GF257" s="164"/>
      <c r="GG257" s="164"/>
      <c r="GH257" s="164"/>
      <c r="GI257" s="163">
        <f>GK257</f>
        <v>337971.35162999999</v>
      </c>
      <c r="GJ257" s="575">
        <f t="shared" si="471"/>
        <v>1</v>
      </c>
      <c r="GK257" s="163">
        <v>337971.35162999999</v>
      </c>
      <c r="GL257" s="575">
        <f t="shared" si="472"/>
        <v>1</v>
      </c>
      <c r="GM257" s="163"/>
      <c r="GN257" s="575"/>
      <c r="GO257" s="163"/>
      <c r="GP257" s="575"/>
      <c r="GQ257" s="164"/>
      <c r="GR257" s="164"/>
      <c r="GS257" s="164"/>
      <c r="GT257" s="164"/>
      <c r="GU257" s="164">
        <f>GV257</f>
        <v>0</v>
      </c>
      <c r="GV257" s="164">
        <v>0</v>
      </c>
      <c r="GW257" s="164"/>
      <c r="GX257" s="164"/>
      <c r="GY257" s="164"/>
      <c r="GZ257" s="164"/>
      <c r="HA257" s="164"/>
      <c r="HB257" s="164"/>
      <c r="HC257" s="164"/>
      <c r="HD257" s="164"/>
      <c r="HE257" s="164"/>
      <c r="HF257" s="164"/>
      <c r="HG257" s="164">
        <f>HH257</f>
        <v>139300</v>
      </c>
      <c r="HH257" s="164">
        <f>HP257-GV257</f>
        <v>139300</v>
      </c>
      <c r="HI257" s="164"/>
      <c r="HJ257" s="164"/>
      <c r="HK257" s="164"/>
      <c r="HL257" s="164"/>
      <c r="HM257" s="164"/>
      <c r="HN257" s="164"/>
      <c r="HO257" s="164">
        <f>HP257</f>
        <v>139300</v>
      </c>
      <c r="HP257" s="164">
        <v>139300</v>
      </c>
      <c r="HQ257" s="164"/>
      <c r="HR257" s="164"/>
      <c r="HS257" s="164">
        <f>HT257</f>
        <v>0</v>
      </c>
      <c r="HT257" s="164">
        <v>0</v>
      </c>
      <c r="HU257" s="164"/>
      <c r="HV257" s="164"/>
      <c r="HW257" s="164">
        <f>HX257</f>
        <v>129801.52468</v>
      </c>
      <c r="HX257" s="164">
        <f>IB257-HT257</f>
        <v>129801.52468</v>
      </c>
      <c r="HY257" s="164"/>
      <c r="HZ257" s="164"/>
      <c r="IA257" s="164">
        <f>IB257</f>
        <v>129801.52468</v>
      </c>
      <c r="IB257" s="164">
        <f>129801.52468</f>
        <v>129801.52468</v>
      </c>
      <c r="IC257" s="164"/>
      <c r="ID257" s="164"/>
      <c r="IE257" s="549"/>
      <c r="IF257" s="170"/>
      <c r="IG257" s="170"/>
      <c r="IH257" s="170"/>
    </row>
    <row r="258" spans="2:249" s="171" customFormat="1" ht="40.5" hidden="1" customHeight="1" x14ac:dyDescent="0.25">
      <c r="B258" s="160"/>
      <c r="C258" s="266" t="s">
        <v>333</v>
      </c>
      <c r="D258" s="255"/>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c r="AK258" s="164"/>
      <c r="AL258" s="164"/>
      <c r="AM258" s="688"/>
      <c r="AN258" s="164"/>
      <c r="AO258" s="164"/>
      <c r="AP258" s="164"/>
      <c r="AQ258" s="164"/>
      <c r="AR258" s="164"/>
      <c r="AS258" s="164"/>
      <c r="AT258" s="164"/>
      <c r="AU258" s="164"/>
      <c r="AV258" s="164"/>
      <c r="AW258" s="164"/>
      <c r="AX258" s="164"/>
      <c r="AY258" s="164"/>
      <c r="AZ258" s="164"/>
      <c r="BA258" s="164"/>
      <c r="BB258" s="164"/>
      <c r="BC258" s="164"/>
      <c r="BD258" s="164"/>
      <c r="BE258" s="164"/>
      <c r="BF258" s="164"/>
      <c r="BG258" s="164"/>
      <c r="BH258" s="164"/>
      <c r="BI258" s="164"/>
      <c r="BJ258" s="164"/>
      <c r="BK258" s="164"/>
      <c r="BL258" s="144"/>
      <c r="BM258" s="144"/>
      <c r="BN258" s="144"/>
      <c r="BO258" s="144"/>
      <c r="BP258" s="144"/>
      <c r="BQ258" s="144"/>
      <c r="BR258" s="144"/>
      <c r="BS258" s="144"/>
      <c r="BT258" s="144"/>
      <c r="BU258" s="144"/>
      <c r="BV258" s="164"/>
      <c r="BW258" s="164"/>
      <c r="BX258" s="164"/>
      <c r="BY258" s="164"/>
      <c r="BZ258" s="164"/>
      <c r="CA258" s="164"/>
      <c r="CB258" s="164"/>
      <c r="CC258" s="164"/>
      <c r="CD258" s="164"/>
      <c r="CE258" s="164"/>
      <c r="CF258" s="144"/>
      <c r="CG258" s="164"/>
      <c r="CH258" s="164"/>
      <c r="CI258" s="164"/>
      <c r="CJ258" s="164"/>
      <c r="CK258" s="164"/>
      <c r="CL258" s="164"/>
      <c r="CM258" s="164"/>
      <c r="CN258" s="164"/>
      <c r="CO258" s="164"/>
      <c r="CP258" s="164"/>
      <c r="CQ258" s="164"/>
      <c r="CR258" s="164"/>
      <c r="CS258" s="164"/>
      <c r="CT258" s="164"/>
      <c r="CU258" s="164"/>
      <c r="CV258" s="164"/>
      <c r="CW258" s="164"/>
      <c r="CX258" s="164"/>
      <c r="CY258" s="164"/>
      <c r="CZ258" s="164"/>
      <c r="DA258" s="164"/>
      <c r="DB258" s="164"/>
      <c r="DC258" s="164"/>
      <c r="DD258" s="164"/>
      <c r="DE258" s="164"/>
      <c r="DF258" s="164"/>
      <c r="DG258" s="164"/>
      <c r="DH258" s="164"/>
      <c r="DI258" s="164"/>
      <c r="DJ258" s="164"/>
      <c r="DK258" s="164"/>
      <c r="DL258" s="164"/>
      <c r="DM258" s="164"/>
      <c r="DN258" s="164"/>
      <c r="DO258" s="164"/>
      <c r="DP258" s="164"/>
      <c r="DQ258" s="164"/>
      <c r="DR258" s="164"/>
      <c r="DS258" s="164"/>
      <c r="DT258" s="164"/>
      <c r="DU258" s="164"/>
      <c r="DV258" s="164"/>
      <c r="DW258" s="164"/>
      <c r="DX258" s="164"/>
      <c r="DY258" s="164"/>
      <c r="DZ258" s="164"/>
      <c r="EA258" s="164"/>
      <c r="EB258" s="164"/>
      <c r="EC258" s="164"/>
      <c r="ED258" s="164"/>
      <c r="EE258" s="164"/>
      <c r="EF258" s="164"/>
      <c r="EG258" s="164"/>
      <c r="EH258" s="164"/>
      <c r="EI258" s="164"/>
      <c r="EJ258" s="164"/>
      <c r="EK258" s="164"/>
      <c r="EL258" s="164"/>
      <c r="EM258" s="164"/>
      <c r="EN258" s="164"/>
      <c r="EO258" s="164"/>
      <c r="EP258" s="164"/>
      <c r="EQ258" s="164"/>
      <c r="ER258" s="164"/>
      <c r="ES258" s="164"/>
      <c r="ET258" s="164"/>
      <c r="EU258" s="164"/>
      <c r="EV258" s="164"/>
      <c r="EW258" s="164"/>
      <c r="EX258" s="164"/>
      <c r="EY258" s="164"/>
      <c r="EZ258" s="164"/>
      <c r="FA258" s="164"/>
      <c r="FB258" s="164"/>
      <c r="FC258" s="163">
        <f>FD258</f>
        <v>11496.14646</v>
      </c>
      <c r="FD258" s="163">
        <v>11496.14646</v>
      </c>
      <c r="FE258" s="163"/>
      <c r="FF258" s="163"/>
      <c r="FG258" s="163">
        <f>FH258</f>
        <v>3391.1777500000007</v>
      </c>
      <c r="FH258" s="163">
        <f>FP258-FD258</f>
        <v>3391.1777500000007</v>
      </c>
      <c r="FI258" s="163"/>
      <c r="FJ258" s="163"/>
      <c r="FK258" s="163"/>
      <c r="FL258" s="163"/>
      <c r="FM258" s="163"/>
      <c r="FN258" s="163"/>
      <c r="FO258" s="163">
        <f>FP258</f>
        <v>14887.324210000001</v>
      </c>
      <c r="FP258" s="163">
        <v>14887.324210000001</v>
      </c>
      <c r="FQ258" s="163"/>
      <c r="FR258" s="163"/>
      <c r="FS258" s="163">
        <f>FU258</f>
        <v>9967.6463999999996</v>
      </c>
      <c r="FT258" s="575">
        <f t="shared" si="506"/>
        <v>0.86704239848384812</v>
      </c>
      <c r="FU258" s="163">
        <v>9967.6463999999996</v>
      </c>
      <c r="FV258" s="575">
        <f t="shared" si="507"/>
        <v>0.86704239848384812</v>
      </c>
      <c r="FW258" s="164"/>
      <c r="FX258" s="164"/>
      <c r="FY258" s="164"/>
      <c r="FZ258" s="164"/>
      <c r="GA258" s="163">
        <f>GC258</f>
        <v>9967.6463999999996</v>
      </c>
      <c r="GB258" s="575">
        <f>GA258/FC258</f>
        <v>0.86704239848384812</v>
      </c>
      <c r="GC258" s="163">
        <v>9967.6463999999996</v>
      </c>
      <c r="GD258" s="575">
        <f>GC258/FD258</f>
        <v>0.86704239848384812</v>
      </c>
      <c r="GE258" s="163"/>
      <c r="GF258" s="164"/>
      <c r="GG258" s="164"/>
      <c r="GH258" s="164"/>
      <c r="GI258" s="163">
        <f>GK258</f>
        <v>11496.14646</v>
      </c>
      <c r="GJ258" s="575">
        <f t="shared" si="471"/>
        <v>1</v>
      </c>
      <c r="GK258" s="163">
        <v>11496.14646</v>
      </c>
      <c r="GL258" s="575">
        <f t="shared" si="472"/>
        <v>1</v>
      </c>
      <c r="GM258" s="163"/>
      <c r="GN258" s="575"/>
      <c r="GO258" s="163"/>
      <c r="GP258" s="575"/>
      <c r="GQ258" s="164"/>
      <c r="GR258" s="164"/>
      <c r="GS258" s="164"/>
      <c r="GT258" s="164"/>
      <c r="GU258" s="164">
        <f>GV258</f>
        <v>0</v>
      </c>
      <c r="GV258" s="164">
        <v>0</v>
      </c>
      <c r="GW258" s="164"/>
      <c r="GX258" s="164"/>
      <c r="GY258" s="164"/>
      <c r="GZ258" s="164"/>
      <c r="HA258" s="164"/>
      <c r="HB258" s="164"/>
      <c r="HC258" s="164"/>
      <c r="HD258" s="164"/>
      <c r="HE258" s="164"/>
      <c r="HF258" s="164"/>
      <c r="HG258" s="164">
        <f>HH258</f>
        <v>2397.15834</v>
      </c>
      <c r="HH258" s="164">
        <f>HP258-GV258</f>
        <v>2397.15834</v>
      </c>
      <c r="HI258" s="164"/>
      <c r="HJ258" s="164"/>
      <c r="HK258" s="164"/>
      <c r="HL258" s="164"/>
      <c r="HM258" s="164"/>
      <c r="HN258" s="164"/>
      <c r="HO258" s="164">
        <f>HP258</f>
        <v>2397.15834</v>
      </c>
      <c r="HP258" s="164">
        <v>2397.15834</v>
      </c>
      <c r="HQ258" s="164"/>
      <c r="HR258" s="164"/>
      <c r="HS258" s="164">
        <f>HT258</f>
        <v>0</v>
      </c>
      <c r="HT258" s="164">
        <v>0</v>
      </c>
      <c r="HU258" s="164"/>
      <c r="HV258" s="164"/>
      <c r="HW258" s="164">
        <f>HX258</f>
        <v>2490.2522300000001</v>
      </c>
      <c r="HX258" s="164">
        <f>IB258-HT258</f>
        <v>2490.2522300000001</v>
      </c>
      <c r="HY258" s="164"/>
      <c r="HZ258" s="164"/>
      <c r="IA258" s="164">
        <f>IB258</f>
        <v>2490.2522300000001</v>
      </c>
      <c r="IB258" s="164">
        <v>2490.2522300000001</v>
      </c>
      <c r="IC258" s="164"/>
      <c r="ID258" s="164"/>
      <c r="IE258" s="549"/>
      <c r="IF258" s="170"/>
      <c r="IG258" s="170"/>
      <c r="IH258" s="170"/>
    </row>
    <row r="259" spans="2:249" s="278" customFormat="1" ht="36.75" hidden="1" customHeight="1" x14ac:dyDescent="0.3">
      <c r="B259" s="115"/>
      <c r="C259" s="116"/>
      <c r="D259" s="271"/>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649"/>
      <c r="AN259" s="119"/>
      <c r="AO259" s="119"/>
      <c r="AP259" s="119"/>
      <c r="AQ259" s="119"/>
      <c r="AR259" s="119"/>
      <c r="AS259" s="119"/>
      <c r="AT259" s="119"/>
      <c r="AU259" s="119"/>
      <c r="AV259" s="119"/>
      <c r="AW259" s="119"/>
      <c r="AX259" s="119"/>
      <c r="AY259" s="119"/>
      <c r="AZ259" s="119"/>
      <c r="BA259" s="119"/>
      <c r="BB259" s="119"/>
      <c r="BC259" s="119"/>
      <c r="BD259" s="119"/>
      <c r="BE259" s="119"/>
      <c r="BF259" s="119"/>
      <c r="BG259" s="119"/>
      <c r="BH259" s="119"/>
      <c r="BI259" s="119"/>
      <c r="BJ259" s="119"/>
      <c r="BK259" s="119"/>
      <c r="BL259" s="272"/>
      <c r="BM259" s="272"/>
      <c r="BN259" s="272"/>
      <c r="BO259" s="272"/>
      <c r="BP259" s="272"/>
      <c r="BQ259" s="272"/>
      <c r="BR259" s="272"/>
      <c r="BS259" s="272"/>
      <c r="BT259" s="272"/>
      <c r="BU259" s="272"/>
      <c r="BV259" s="119"/>
      <c r="BW259" s="119"/>
      <c r="BX259" s="119"/>
      <c r="BY259" s="119"/>
      <c r="BZ259" s="119"/>
      <c r="CA259" s="119"/>
      <c r="CB259" s="119"/>
      <c r="CC259" s="119"/>
      <c r="CD259" s="119"/>
      <c r="CE259" s="119"/>
      <c r="CF259" s="272"/>
      <c r="CG259" s="119"/>
      <c r="CH259" s="119"/>
      <c r="CI259" s="119"/>
      <c r="CJ259" s="119"/>
      <c r="CK259" s="119"/>
      <c r="CL259" s="119"/>
      <c r="CM259" s="119"/>
      <c r="CN259" s="119"/>
      <c r="CO259" s="119"/>
      <c r="CP259" s="119"/>
      <c r="CQ259" s="119"/>
      <c r="CR259" s="119"/>
      <c r="CS259" s="119"/>
      <c r="CT259" s="119"/>
      <c r="CU259" s="119"/>
      <c r="CV259" s="119"/>
      <c r="CW259" s="119"/>
      <c r="CX259" s="119"/>
      <c r="CY259" s="119"/>
      <c r="CZ259" s="119"/>
      <c r="DA259" s="119"/>
      <c r="DB259" s="119"/>
      <c r="DC259" s="119"/>
      <c r="DD259" s="119"/>
      <c r="DE259" s="119"/>
      <c r="DF259" s="119"/>
      <c r="DG259" s="119"/>
      <c r="DH259" s="119"/>
      <c r="DI259" s="119"/>
      <c r="DJ259" s="119"/>
      <c r="DK259" s="119"/>
      <c r="DL259" s="119"/>
      <c r="DM259" s="119"/>
      <c r="DN259" s="119"/>
      <c r="DO259" s="119"/>
      <c r="DP259" s="119"/>
      <c r="DQ259" s="119"/>
      <c r="DR259" s="119"/>
      <c r="DS259" s="119"/>
      <c r="DT259" s="119"/>
      <c r="DU259" s="119"/>
      <c r="DV259" s="119"/>
      <c r="DW259" s="119"/>
      <c r="DX259" s="119"/>
      <c r="DY259" s="119"/>
      <c r="DZ259" s="119"/>
      <c r="EA259" s="119"/>
      <c r="EB259" s="119"/>
      <c r="EC259" s="119"/>
      <c r="ED259" s="119"/>
      <c r="EE259" s="119"/>
      <c r="EF259" s="119"/>
      <c r="EG259" s="119"/>
      <c r="EH259" s="119"/>
      <c r="EI259" s="119"/>
      <c r="EJ259" s="119"/>
      <c r="EK259" s="119"/>
      <c r="EL259" s="119"/>
      <c r="EM259" s="119"/>
      <c r="EN259" s="119"/>
      <c r="EO259" s="119"/>
      <c r="EP259" s="119"/>
      <c r="EQ259" s="119"/>
      <c r="ER259" s="119"/>
      <c r="ES259" s="118"/>
      <c r="ET259" s="119"/>
      <c r="EU259" s="119"/>
      <c r="EV259" s="119"/>
      <c r="EW259" s="119"/>
      <c r="EX259" s="119"/>
      <c r="EY259" s="119"/>
      <c r="EZ259" s="119"/>
      <c r="FA259" s="119"/>
      <c r="FB259" s="119"/>
      <c r="FC259" s="118"/>
      <c r="FD259" s="118"/>
      <c r="FE259" s="118"/>
      <c r="FF259" s="118"/>
      <c r="FG259" s="118"/>
      <c r="FH259" s="118"/>
      <c r="FI259" s="118"/>
      <c r="FJ259" s="118"/>
      <c r="FK259" s="118"/>
      <c r="FL259" s="118"/>
      <c r="FM259" s="118"/>
      <c r="FN259" s="118"/>
      <c r="FO259" s="118"/>
      <c r="FP259" s="693"/>
      <c r="FQ259" s="163"/>
      <c r="FR259" s="118"/>
      <c r="FS259" s="118"/>
      <c r="FT259" s="587" t="e">
        <f t="shared" si="506"/>
        <v>#DIV/0!</v>
      </c>
      <c r="FU259" s="118"/>
      <c r="FV259" s="587" t="e">
        <f t="shared" si="507"/>
        <v>#DIV/0!</v>
      </c>
      <c r="FW259" s="119"/>
      <c r="FX259" s="119"/>
      <c r="FY259" s="119"/>
      <c r="FZ259" s="119"/>
      <c r="GA259" s="118"/>
      <c r="GB259" s="587"/>
      <c r="GC259" s="118"/>
      <c r="GD259" s="587"/>
      <c r="GE259" s="118"/>
      <c r="GF259" s="119"/>
      <c r="GG259" s="119"/>
      <c r="GH259" s="119"/>
      <c r="GI259" s="118"/>
      <c r="GJ259" s="587" t="e">
        <f t="shared" si="471"/>
        <v>#DIV/0!</v>
      </c>
      <c r="GK259" s="118"/>
      <c r="GL259" s="587" t="e">
        <f t="shared" si="472"/>
        <v>#DIV/0!</v>
      </c>
      <c r="GM259" s="118"/>
      <c r="GN259" s="587"/>
      <c r="GO259" s="118"/>
      <c r="GP259" s="585"/>
      <c r="GQ259" s="119"/>
      <c r="GR259" s="119"/>
      <c r="GS259" s="119"/>
      <c r="GT259" s="119"/>
      <c r="GU259" s="164"/>
      <c r="GV259" s="164"/>
      <c r="GW259" s="164"/>
      <c r="GX259" s="181"/>
      <c r="GY259" s="181"/>
      <c r="GZ259" s="181"/>
      <c r="HA259" s="181"/>
      <c r="HB259" s="181"/>
      <c r="HC259" s="181"/>
      <c r="HD259" s="181"/>
      <c r="HE259" s="181"/>
      <c r="HF259" s="181"/>
      <c r="HG259" s="164"/>
      <c r="HH259" s="164"/>
      <c r="HI259" s="164"/>
      <c r="HJ259" s="181"/>
      <c r="HK259" s="164"/>
      <c r="HL259" s="164"/>
      <c r="HM259" s="164"/>
      <c r="HN259" s="181"/>
      <c r="HO259" s="164"/>
      <c r="HP259" s="164"/>
      <c r="HQ259" s="164"/>
      <c r="HR259" s="181"/>
      <c r="HS259" s="164"/>
      <c r="HT259" s="164"/>
      <c r="HU259" s="164"/>
      <c r="HV259" s="181"/>
      <c r="HW259" s="164"/>
      <c r="HX259" s="164"/>
      <c r="HY259" s="164"/>
      <c r="HZ259" s="181"/>
      <c r="IA259" s="164"/>
      <c r="IB259" s="164"/>
      <c r="IC259" s="164"/>
      <c r="ID259" s="181"/>
      <c r="IE259" s="200"/>
      <c r="IF259" s="277"/>
      <c r="IG259" s="277"/>
      <c r="IH259" s="277"/>
    </row>
    <row r="260" spans="2:249" s="278" customFormat="1" ht="36.75" hidden="1" customHeight="1" x14ac:dyDescent="0.3">
      <c r="B260" s="115"/>
      <c r="C260" s="116"/>
      <c r="D260" s="271"/>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64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272"/>
      <c r="BM260" s="272"/>
      <c r="BN260" s="272"/>
      <c r="BO260" s="272"/>
      <c r="BP260" s="272"/>
      <c r="BQ260" s="272"/>
      <c r="BR260" s="272"/>
      <c r="BS260" s="272"/>
      <c r="BT260" s="272"/>
      <c r="BU260" s="272"/>
      <c r="BV260" s="119"/>
      <c r="BW260" s="119"/>
      <c r="BX260" s="119"/>
      <c r="BY260" s="119"/>
      <c r="BZ260" s="119"/>
      <c r="CA260" s="119"/>
      <c r="CB260" s="119"/>
      <c r="CC260" s="119"/>
      <c r="CD260" s="119"/>
      <c r="CE260" s="119"/>
      <c r="CF260" s="272"/>
      <c r="CG260" s="119"/>
      <c r="CH260" s="119"/>
      <c r="CI260" s="119"/>
      <c r="CJ260" s="119"/>
      <c r="CK260" s="119"/>
      <c r="CL260" s="119"/>
      <c r="CM260" s="119"/>
      <c r="CN260" s="119"/>
      <c r="CO260" s="119"/>
      <c r="CP260" s="119"/>
      <c r="CQ260" s="119"/>
      <c r="CR260" s="119"/>
      <c r="CS260" s="119"/>
      <c r="CT260" s="119"/>
      <c r="CU260" s="119"/>
      <c r="CV260" s="119"/>
      <c r="CW260" s="119"/>
      <c r="CX260" s="119"/>
      <c r="CY260" s="119"/>
      <c r="CZ260" s="119"/>
      <c r="DA260" s="119"/>
      <c r="DB260" s="119"/>
      <c r="DC260" s="119"/>
      <c r="DD260" s="119"/>
      <c r="DE260" s="119"/>
      <c r="DF260" s="119"/>
      <c r="DG260" s="119"/>
      <c r="DH260" s="119"/>
      <c r="DI260" s="119"/>
      <c r="DJ260" s="119"/>
      <c r="DK260" s="119"/>
      <c r="DL260" s="119"/>
      <c r="DM260" s="119"/>
      <c r="DN260" s="119"/>
      <c r="DO260" s="119"/>
      <c r="DP260" s="119"/>
      <c r="DQ260" s="119"/>
      <c r="DR260" s="119"/>
      <c r="DS260" s="119"/>
      <c r="DT260" s="119"/>
      <c r="DU260" s="119"/>
      <c r="DV260" s="119"/>
      <c r="DW260" s="119"/>
      <c r="DX260" s="119"/>
      <c r="DY260" s="119"/>
      <c r="DZ260" s="119"/>
      <c r="EA260" s="119"/>
      <c r="EB260" s="119"/>
      <c r="EC260" s="119"/>
      <c r="ED260" s="119"/>
      <c r="EE260" s="119"/>
      <c r="EF260" s="119"/>
      <c r="EG260" s="119"/>
      <c r="EH260" s="119"/>
      <c r="EI260" s="119"/>
      <c r="EJ260" s="119"/>
      <c r="EK260" s="119"/>
      <c r="EL260" s="119"/>
      <c r="EM260" s="119"/>
      <c r="EN260" s="119"/>
      <c r="EO260" s="119"/>
      <c r="EP260" s="119"/>
      <c r="EQ260" s="119"/>
      <c r="ER260" s="119"/>
      <c r="ES260" s="118"/>
      <c r="ET260" s="119"/>
      <c r="EU260" s="119"/>
      <c r="EV260" s="119"/>
      <c r="EW260" s="119"/>
      <c r="EX260" s="119"/>
      <c r="EY260" s="119"/>
      <c r="EZ260" s="119"/>
      <c r="FA260" s="119"/>
      <c r="FB260" s="119"/>
      <c r="FC260" s="118"/>
      <c r="FD260" s="118"/>
      <c r="FE260" s="118"/>
      <c r="FF260" s="118"/>
      <c r="FG260" s="118"/>
      <c r="FH260" s="118"/>
      <c r="FI260" s="118"/>
      <c r="FJ260" s="118"/>
      <c r="FK260" s="118"/>
      <c r="FL260" s="118"/>
      <c r="FM260" s="118"/>
      <c r="FN260" s="118"/>
      <c r="FO260" s="118"/>
      <c r="FP260" s="693"/>
      <c r="FQ260" s="163"/>
      <c r="FR260" s="118"/>
      <c r="FS260" s="118"/>
      <c r="FT260" s="587" t="e">
        <f t="shared" si="506"/>
        <v>#DIV/0!</v>
      </c>
      <c r="FU260" s="118"/>
      <c r="FV260" s="587" t="e">
        <f t="shared" si="507"/>
        <v>#DIV/0!</v>
      </c>
      <c r="FW260" s="119"/>
      <c r="FX260" s="119"/>
      <c r="FY260" s="119"/>
      <c r="FZ260" s="119"/>
      <c r="GA260" s="118"/>
      <c r="GB260" s="587"/>
      <c r="GC260" s="118"/>
      <c r="GD260" s="587"/>
      <c r="GE260" s="118"/>
      <c r="GF260" s="119"/>
      <c r="GG260" s="119"/>
      <c r="GH260" s="119"/>
      <c r="GI260" s="118"/>
      <c r="GJ260" s="587" t="e">
        <f t="shared" si="471"/>
        <v>#DIV/0!</v>
      </c>
      <c r="GK260" s="118"/>
      <c r="GL260" s="587" t="e">
        <f t="shared" si="472"/>
        <v>#DIV/0!</v>
      </c>
      <c r="GM260" s="118"/>
      <c r="GN260" s="587"/>
      <c r="GO260" s="118"/>
      <c r="GP260" s="585"/>
      <c r="GQ260" s="119"/>
      <c r="GR260" s="119"/>
      <c r="GS260" s="119"/>
      <c r="GT260" s="119"/>
      <c r="GU260" s="164"/>
      <c r="GV260" s="164"/>
      <c r="GW260" s="164"/>
      <c r="GX260" s="181"/>
      <c r="GY260" s="181"/>
      <c r="GZ260" s="181"/>
      <c r="HA260" s="181"/>
      <c r="HB260" s="181"/>
      <c r="HC260" s="181"/>
      <c r="HD260" s="181"/>
      <c r="HE260" s="181"/>
      <c r="HF260" s="181"/>
      <c r="HG260" s="164"/>
      <c r="HH260" s="164"/>
      <c r="HI260" s="164"/>
      <c r="HJ260" s="181"/>
      <c r="HK260" s="164"/>
      <c r="HL260" s="164"/>
      <c r="HM260" s="164"/>
      <c r="HN260" s="181"/>
      <c r="HO260" s="164"/>
      <c r="HP260" s="164"/>
      <c r="HQ260" s="164"/>
      <c r="HR260" s="181"/>
      <c r="HS260" s="164"/>
      <c r="HT260" s="164"/>
      <c r="HU260" s="164"/>
      <c r="HV260" s="181"/>
      <c r="HW260" s="164"/>
      <c r="HX260" s="164"/>
      <c r="HY260" s="164"/>
      <c r="HZ260" s="181"/>
      <c r="IA260" s="164"/>
      <c r="IB260" s="164"/>
      <c r="IC260" s="164"/>
      <c r="ID260" s="181"/>
      <c r="IE260" s="200"/>
      <c r="IF260" s="277"/>
      <c r="IG260" s="277"/>
      <c r="IH260" s="277"/>
    </row>
    <row r="261" spans="2:249" s="278" customFormat="1" ht="36.75" hidden="1" customHeight="1" x14ac:dyDescent="0.3">
      <c r="B261" s="279"/>
      <c r="C261" s="174"/>
      <c r="D261" s="273"/>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75"/>
      <c r="AN261" s="181"/>
      <c r="AO261" s="181"/>
      <c r="AP261" s="181"/>
      <c r="AQ261" s="181"/>
      <c r="AR261" s="181"/>
      <c r="AS261" s="181"/>
      <c r="AT261" s="181"/>
      <c r="AU261" s="181"/>
      <c r="AV261" s="181"/>
      <c r="AW261" s="181"/>
      <c r="AX261" s="181"/>
      <c r="AY261" s="181"/>
      <c r="AZ261" s="181"/>
      <c r="BA261" s="181"/>
      <c r="BB261" s="181"/>
      <c r="BC261" s="181"/>
      <c r="BD261" s="181"/>
      <c r="BE261" s="181"/>
      <c r="BF261" s="181"/>
      <c r="BG261" s="181"/>
      <c r="BH261" s="181"/>
      <c r="BI261" s="181"/>
      <c r="BJ261" s="181"/>
      <c r="BK261" s="181"/>
      <c r="BL261" s="105"/>
      <c r="BM261" s="105"/>
      <c r="BN261" s="105"/>
      <c r="BO261" s="105"/>
      <c r="BP261" s="105"/>
      <c r="BQ261" s="105"/>
      <c r="BR261" s="105"/>
      <c r="BS261" s="105"/>
      <c r="BT261" s="105"/>
      <c r="BU261" s="105"/>
      <c r="BV261" s="181"/>
      <c r="BW261" s="181"/>
      <c r="BX261" s="181"/>
      <c r="BY261" s="181"/>
      <c r="BZ261" s="181"/>
      <c r="CA261" s="181"/>
      <c r="CB261" s="181"/>
      <c r="CC261" s="181"/>
      <c r="CD261" s="181"/>
      <c r="CE261" s="181"/>
      <c r="CF261" s="105"/>
      <c r="CG261" s="181"/>
      <c r="CH261" s="181"/>
      <c r="CI261" s="181"/>
      <c r="CJ261" s="181"/>
      <c r="CK261" s="181"/>
      <c r="CL261" s="181"/>
      <c r="CM261" s="181"/>
      <c r="CN261" s="181"/>
      <c r="CO261" s="181"/>
      <c r="CP261" s="181"/>
      <c r="CQ261" s="181"/>
      <c r="CR261" s="181"/>
      <c r="CS261" s="181"/>
      <c r="CT261" s="181"/>
      <c r="CU261" s="181"/>
      <c r="CV261" s="181"/>
      <c r="CW261" s="164"/>
      <c r="CX261" s="164"/>
      <c r="CY261" s="181"/>
      <c r="CZ261" s="181"/>
      <c r="DA261" s="181"/>
      <c r="DB261" s="181"/>
      <c r="DC261" s="181"/>
      <c r="DD261" s="181"/>
      <c r="DE261" s="181"/>
      <c r="DF261" s="164"/>
      <c r="DG261" s="164"/>
      <c r="DH261" s="181"/>
      <c r="DI261" s="164"/>
      <c r="DJ261" s="164"/>
      <c r="DK261" s="181"/>
      <c r="DL261" s="181"/>
      <c r="DM261" s="181"/>
      <c r="DN261" s="181"/>
      <c r="DO261" s="181"/>
      <c r="DP261" s="181"/>
      <c r="DQ261" s="181"/>
      <c r="DR261" s="181"/>
      <c r="DS261" s="181"/>
      <c r="DT261" s="181"/>
      <c r="DU261" s="164"/>
      <c r="DV261" s="164"/>
      <c r="DW261" s="181"/>
      <c r="DX261" s="181"/>
      <c r="DY261" s="181"/>
      <c r="DZ261" s="181"/>
      <c r="EA261" s="181"/>
      <c r="EB261" s="181"/>
      <c r="EC261" s="181"/>
      <c r="ED261" s="164"/>
      <c r="EE261" s="164"/>
      <c r="EF261" s="181"/>
      <c r="EG261" s="164"/>
      <c r="EH261" s="164"/>
      <c r="EI261" s="164"/>
      <c r="EJ261" s="181"/>
      <c r="EK261" s="181"/>
      <c r="EL261" s="181"/>
      <c r="EM261" s="181"/>
      <c r="EN261" s="181"/>
      <c r="EO261" s="181"/>
      <c r="EP261" s="181"/>
      <c r="EQ261" s="181"/>
      <c r="ER261" s="181"/>
      <c r="ES261" s="164"/>
      <c r="ET261" s="164"/>
      <c r="EU261" s="181"/>
      <c r="EV261" s="181"/>
      <c r="EW261" s="164"/>
      <c r="EX261" s="164"/>
      <c r="EY261" s="181"/>
      <c r="EZ261" s="164"/>
      <c r="FA261" s="164"/>
      <c r="FB261" s="181"/>
      <c r="FC261" s="163"/>
      <c r="FD261" s="163"/>
      <c r="FE261" s="163"/>
      <c r="FF261" s="180"/>
      <c r="FG261" s="163"/>
      <c r="FH261" s="163"/>
      <c r="FI261" s="163"/>
      <c r="FJ261" s="180"/>
      <c r="FK261" s="180"/>
      <c r="FL261" s="180"/>
      <c r="FM261" s="180"/>
      <c r="FN261" s="180"/>
      <c r="FO261" s="163"/>
      <c r="FP261" s="163"/>
      <c r="FQ261" s="163"/>
      <c r="FR261" s="180"/>
      <c r="FS261" s="180"/>
      <c r="FT261" s="207" t="e">
        <f t="shared" si="506"/>
        <v>#DIV/0!</v>
      </c>
      <c r="FU261" s="180"/>
      <c r="FV261" s="207" t="e">
        <f t="shared" si="507"/>
        <v>#DIV/0!</v>
      </c>
      <c r="FW261" s="181"/>
      <c r="FX261" s="181"/>
      <c r="FY261" s="181"/>
      <c r="FZ261" s="181"/>
      <c r="GA261" s="180"/>
      <c r="GB261" s="207"/>
      <c r="GC261" s="180"/>
      <c r="GD261" s="207"/>
      <c r="GE261" s="180"/>
      <c r="GF261" s="181"/>
      <c r="GG261" s="181"/>
      <c r="GH261" s="181"/>
      <c r="GI261" s="180"/>
      <c r="GJ261" s="207" t="e">
        <f t="shared" si="471"/>
        <v>#DIV/0!</v>
      </c>
      <c r="GK261" s="180"/>
      <c r="GL261" s="207" t="e">
        <f t="shared" si="472"/>
        <v>#DIV/0!</v>
      </c>
      <c r="GM261" s="180"/>
      <c r="GN261" s="207"/>
      <c r="GO261" s="180"/>
      <c r="GP261" s="207"/>
      <c r="GQ261" s="181"/>
      <c r="GR261" s="181"/>
      <c r="GS261" s="181"/>
      <c r="GT261" s="181"/>
      <c r="GU261" s="164"/>
      <c r="GV261" s="164"/>
      <c r="GW261" s="164"/>
      <c r="GX261" s="181"/>
      <c r="GY261" s="181"/>
      <c r="GZ261" s="181"/>
      <c r="HA261" s="181"/>
      <c r="HB261" s="181"/>
      <c r="HC261" s="181"/>
      <c r="HD261" s="181"/>
      <c r="HE261" s="181"/>
      <c r="HF261" s="181"/>
      <c r="HG261" s="164"/>
      <c r="HH261" s="164"/>
      <c r="HI261" s="164"/>
      <c r="HJ261" s="181"/>
      <c r="HK261" s="164"/>
      <c r="HL261" s="164"/>
      <c r="HM261" s="164"/>
      <c r="HN261" s="181"/>
      <c r="HO261" s="164"/>
      <c r="HP261" s="164"/>
      <c r="HQ261" s="164"/>
      <c r="HR261" s="181"/>
      <c r="HS261" s="164"/>
      <c r="HT261" s="164"/>
      <c r="HU261" s="164"/>
      <c r="HV261" s="181"/>
      <c r="HW261" s="164"/>
      <c r="HX261" s="164"/>
      <c r="HY261" s="164"/>
      <c r="HZ261" s="181"/>
      <c r="IA261" s="164"/>
      <c r="IB261" s="164"/>
      <c r="IC261" s="164"/>
      <c r="ID261" s="181"/>
      <c r="IE261" s="200"/>
      <c r="IF261" s="277"/>
      <c r="IG261" s="277"/>
      <c r="IH261" s="277"/>
    </row>
    <row r="262" spans="2:249" s="278" customFormat="1" ht="36.75" hidden="1" customHeight="1" x14ac:dyDescent="0.3">
      <c r="B262" s="279"/>
      <c r="C262" s="174"/>
      <c r="D262" s="273"/>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c r="AK262" s="181"/>
      <c r="AL262" s="181"/>
      <c r="AM262" s="175"/>
      <c r="AN262" s="181"/>
      <c r="AO262" s="181"/>
      <c r="AP262" s="181"/>
      <c r="AQ262" s="181"/>
      <c r="AR262" s="181"/>
      <c r="AS262" s="181"/>
      <c r="AT262" s="181"/>
      <c r="AU262" s="181"/>
      <c r="AV262" s="181"/>
      <c r="AW262" s="181"/>
      <c r="AX262" s="181"/>
      <c r="AY262" s="181"/>
      <c r="AZ262" s="181"/>
      <c r="BA262" s="181"/>
      <c r="BB262" s="181"/>
      <c r="BC262" s="181"/>
      <c r="BD262" s="181"/>
      <c r="BE262" s="181"/>
      <c r="BF262" s="181"/>
      <c r="BG262" s="181"/>
      <c r="BH262" s="181"/>
      <c r="BI262" s="181"/>
      <c r="BJ262" s="181"/>
      <c r="BK262" s="181"/>
      <c r="BL262" s="105"/>
      <c r="BM262" s="105"/>
      <c r="BN262" s="105"/>
      <c r="BO262" s="105"/>
      <c r="BP262" s="105"/>
      <c r="BQ262" s="105"/>
      <c r="BR262" s="105"/>
      <c r="BS262" s="105"/>
      <c r="BT262" s="105"/>
      <c r="BU262" s="105"/>
      <c r="BV262" s="181"/>
      <c r="BW262" s="181"/>
      <c r="BX262" s="181"/>
      <c r="BY262" s="181"/>
      <c r="BZ262" s="181"/>
      <c r="CA262" s="181"/>
      <c r="CB262" s="181"/>
      <c r="CC262" s="181"/>
      <c r="CD262" s="181"/>
      <c r="CE262" s="181"/>
      <c r="CF262" s="105"/>
      <c r="CG262" s="181"/>
      <c r="CH262" s="181"/>
      <c r="CI262" s="181"/>
      <c r="CJ262" s="181"/>
      <c r="CK262" s="181"/>
      <c r="CL262" s="181"/>
      <c r="CM262" s="181"/>
      <c r="CN262" s="181"/>
      <c r="CO262" s="181"/>
      <c r="CP262" s="181"/>
      <c r="CQ262" s="181"/>
      <c r="CR262" s="181"/>
      <c r="CS262" s="181"/>
      <c r="CT262" s="181"/>
      <c r="CU262" s="181"/>
      <c r="CV262" s="181"/>
      <c r="CW262" s="164"/>
      <c r="CX262" s="164"/>
      <c r="CY262" s="181"/>
      <c r="CZ262" s="181"/>
      <c r="DA262" s="181"/>
      <c r="DB262" s="181"/>
      <c r="DC262" s="181"/>
      <c r="DD262" s="181"/>
      <c r="DE262" s="181"/>
      <c r="DF262" s="164"/>
      <c r="DG262" s="164"/>
      <c r="DH262" s="181"/>
      <c r="DI262" s="164"/>
      <c r="DJ262" s="164"/>
      <c r="DK262" s="181"/>
      <c r="DL262" s="181"/>
      <c r="DM262" s="181"/>
      <c r="DN262" s="181"/>
      <c r="DO262" s="181"/>
      <c r="DP262" s="181"/>
      <c r="DQ262" s="181"/>
      <c r="DR262" s="181"/>
      <c r="DS262" s="181"/>
      <c r="DT262" s="181"/>
      <c r="DU262" s="164"/>
      <c r="DV262" s="164"/>
      <c r="DW262" s="181"/>
      <c r="DX262" s="181"/>
      <c r="DY262" s="181"/>
      <c r="DZ262" s="181"/>
      <c r="EA262" s="181"/>
      <c r="EB262" s="181"/>
      <c r="EC262" s="181"/>
      <c r="ED262" s="164"/>
      <c r="EE262" s="164"/>
      <c r="EF262" s="181"/>
      <c r="EG262" s="164"/>
      <c r="EH262" s="164"/>
      <c r="EI262" s="164"/>
      <c r="EJ262" s="181"/>
      <c r="EK262" s="181"/>
      <c r="EL262" s="181"/>
      <c r="EM262" s="181"/>
      <c r="EN262" s="181"/>
      <c r="EO262" s="181"/>
      <c r="EP262" s="181"/>
      <c r="EQ262" s="181"/>
      <c r="ER262" s="181"/>
      <c r="ES262" s="164"/>
      <c r="ET262" s="164"/>
      <c r="EU262" s="181"/>
      <c r="EV262" s="181"/>
      <c r="EW262" s="164"/>
      <c r="EX262" s="164"/>
      <c r="EY262" s="181"/>
      <c r="EZ262" s="164"/>
      <c r="FA262" s="164"/>
      <c r="FB262" s="181"/>
      <c r="FC262" s="163"/>
      <c r="FD262" s="163"/>
      <c r="FE262" s="163"/>
      <c r="FF262" s="180"/>
      <c r="FG262" s="163"/>
      <c r="FH262" s="163"/>
      <c r="FI262" s="163"/>
      <c r="FJ262" s="180"/>
      <c r="FK262" s="180"/>
      <c r="FL262" s="180"/>
      <c r="FM262" s="180"/>
      <c r="FN262" s="180"/>
      <c r="FO262" s="163"/>
      <c r="FP262" s="163"/>
      <c r="FQ262" s="163"/>
      <c r="FR262" s="180"/>
      <c r="FS262" s="180"/>
      <c r="FT262" s="207" t="e">
        <f t="shared" si="506"/>
        <v>#DIV/0!</v>
      </c>
      <c r="FU262" s="180"/>
      <c r="FV262" s="207" t="e">
        <f t="shared" si="507"/>
        <v>#DIV/0!</v>
      </c>
      <c r="FW262" s="181"/>
      <c r="FX262" s="181"/>
      <c r="FY262" s="181"/>
      <c r="FZ262" s="181"/>
      <c r="GA262" s="180"/>
      <c r="GB262" s="207"/>
      <c r="GC262" s="180"/>
      <c r="GD262" s="207"/>
      <c r="GE262" s="180"/>
      <c r="GF262" s="181"/>
      <c r="GG262" s="181"/>
      <c r="GH262" s="181"/>
      <c r="GI262" s="180"/>
      <c r="GJ262" s="207" t="e">
        <f t="shared" si="471"/>
        <v>#DIV/0!</v>
      </c>
      <c r="GK262" s="180"/>
      <c r="GL262" s="207" t="e">
        <f t="shared" si="472"/>
        <v>#DIV/0!</v>
      </c>
      <c r="GM262" s="180"/>
      <c r="GN262" s="207"/>
      <c r="GO262" s="180"/>
      <c r="GP262" s="207"/>
      <c r="GQ262" s="181"/>
      <c r="GR262" s="181"/>
      <c r="GS262" s="181"/>
      <c r="GT262" s="181"/>
      <c r="GU262" s="164"/>
      <c r="GV262" s="164"/>
      <c r="GW262" s="164"/>
      <c r="GX262" s="181"/>
      <c r="GY262" s="181"/>
      <c r="GZ262" s="181"/>
      <c r="HA262" s="181"/>
      <c r="HB262" s="181"/>
      <c r="HC262" s="181"/>
      <c r="HD262" s="181"/>
      <c r="HE262" s="181"/>
      <c r="HF262" s="181"/>
      <c r="HG262" s="164"/>
      <c r="HH262" s="164"/>
      <c r="HI262" s="164"/>
      <c r="HJ262" s="181"/>
      <c r="HK262" s="164"/>
      <c r="HL262" s="164"/>
      <c r="HM262" s="164"/>
      <c r="HN262" s="181"/>
      <c r="HO262" s="164"/>
      <c r="HP262" s="164"/>
      <c r="HQ262" s="164"/>
      <c r="HR262" s="181"/>
      <c r="HS262" s="164"/>
      <c r="HT262" s="164"/>
      <c r="HU262" s="164"/>
      <c r="HV262" s="181"/>
      <c r="HW262" s="164"/>
      <c r="HX262" s="164"/>
      <c r="HY262" s="164"/>
      <c r="HZ262" s="181"/>
      <c r="IA262" s="164"/>
      <c r="IB262" s="164"/>
      <c r="IC262" s="164"/>
      <c r="ID262" s="181"/>
      <c r="IE262" s="200"/>
      <c r="IF262" s="277"/>
      <c r="IG262" s="277"/>
      <c r="IH262" s="277"/>
    </row>
    <row r="263" spans="2:249" s="280" customFormat="1" ht="86.25" customHeight="1" x14ac:dyDescent="0.25">
      <c r="B263" s="131" t="s">
        <v>87</v>
      </c>
      <c r="C263" s="260" t="s">
        <v>340</v>
      </c>
      <c r="D263" s="260" t="s">
        <v>341</v>
      </c>
      <c r="E263" s="136">
        <f>F263+G263</f>
        <v>502473.5</v>
      </c>
      <c r="F263" s="136"/>
      <c r="G263" s="136">
        <f>G264+G267+G268</f>
        <v>502473.5</v>
      </c>
      <c r="H263" s="136">
        <f>I263+J263</f>
        <v>0</v>
      </c>
      <c r="I263" s="136"/>
      <c r="J263" s="136">
        <f>J264+J267+J268</f>
        <v>0</v>
      </c>
      <c r="K263" s="136">
        <f>L263+M263</f>
        <v>502473.5</v>
      </c>
      <c r="L263" s="136"/>
      <c r="M263" s="136">
        <f>M264+M267+M268</f>
        <v>502473.5</v>
      </c>
      <c r="N263" s="136">
        <f>O263+P263</f>
        <v>250000</v>
      </c>
      <c r="O263" s="136"/>
      <c r="P263" s="136">
        <f>P264+P267+P268</f>
        <v>250000</v>
      </c>
      <c r="Q263" s="136">
        <f>R263+S263</f>
        <v>752473.5</v>
      </c>
      <c r="R263" s="136"/>
      <c r="S263" s="136">
        <f>S264+S267+S268</f>
        <v>752473.5</v>
      </c>
      <c r="T263" s="136">
        <f>U263+V263</f>
        <v>400000</v>
      </c>
      <c r="U263" s="136"/>
      <c r="V263" s="136">
        <f>V264+V267+V268</f>
        <v>400000</v>
      </c>
      <c r="W263" s="136">
        <f t="shared" ref="W263:W270" si="580">X263+Y263</f>
        <v>-138431.29999999999</v>
      </c>
      <c r="X263" s="136"/>
      <c r="Y263" s="136">
        <f>Y264+Y267+Y268</f>
        <v>-138431.29999999999</v>
      </c>
      <c r="Z263" s="136">
        <f t="shared" ref="Z263:AF263" si="581">Z264+Z267</f>
        <v>261568.7</v>
      </c>
      <c r="AA263" s="136">
        <f t="shared" si="581"/>
        <v>0</v>
      </c>
      <c r="AB263" s="136">
        <f t="shared" si="581"/>
        <v>261568.7</v>
      </c>
      <c r="AC263" s="136">
        <f t="shared" si="581"/>
        <v>0</v>
      </c>
      <c r="AD263" s="136">
        <f t="shared" si="581"/>
        <v>0</v>
      </c>
      <c r="AE263" s="136">
        <f t="shared" si="581"/>
        <v>0</v>
      </c>
      <c r="AF263" s="136" t="e">
        <f t="shared" si="581"/>
        <v>#REF!</v>
      </c>
      <c r="AG263" s="136"/>
      <c r="AH263" s="136" t="e">
        <f>AH264+AH267+AH268</f>
        <v>#REF!</v>
      </c>
      <c r="AI263" s="136">
        <v>0</v>
      </c>
      <c r="AJ263" s="136">
        <v>0</v>
      </c>
      <c r="AK263" s="136">
        <f t="shared" ref="AK263:AK268" si="582">Z263-AJ263</f>
        <v>261568.7</v>
      </c>
      <c r="AL263" s="136" t="e">
        <f>AF263-AJ263</f>
        <v>#REF!</v>
      </c>
      <c r="AM263" s="779" t="s">
        <v>342</v>
      </c>
      <c r="AN263" s="779" t="s">
        <v>343</v>
      </c>
      <c r="AO263" s="264">
        <v>1</v>
      </c>
      <c r="AP263" s="260"/>
      <c r="AQ263" s="260"/>
      <c r="AR263" s="136" t="e">
        <f>AR264+AR267</f>
        <v>#REF!</v>
      </c>
      <c r="AS263" s="136">
        <f>AT263+AU263</f>
        <v>248761.3</v>
      </c>
      <c r="AT263" s="136"/>
      <c r="AU263" s="136">
        <f>AU264+AU267+AU268</f>
        <v>248761.3</v>
      </c>
      <c r="AV263" s="136">
        <f>AV264+AV267+AV268</f>
        <v>0</v>
      </c>
      <c r="AW263" s="136">
        <f>AW264+AW267+AW268</f>
        <v>0</v>
      </c>
      <c r="AX263" s="136">
        <f>AX264+AX267+AX268</f>
        <v>0</v>
      </c>
      <c r="AY263" s="136">
        <f>AY264+AY267+AY268</f>
        <v>248761.3</v>
      </c>
      <c r="AZ263" s="136">
        <f>AZ264+AZ267</f>
        <v>0</v>
      </c>
      <c r="BA263" s="136">
        <f t="shared" ref="BA263:BH263" si="583">BA264+BA267+BA268</f>
        <v>248761.3</v>
      </c>
      <c r="BB263" s="136">
        <f t="shared" si="583"/>
        <v>500000</v>
      </c>
      <c r="BC263" s="136">
        <f t="shared" si="583"/>
        <v>0</v>
      </c>
      <c r="BD263" s="136">
        <f t="shared" si="583"/>
        <v>500000</v>
      </c>
      <c r="BE263" s="136">
        <f t="shared" si="583"/>
        <v>160829.95300000001</v>
      </c>
      <c r="BF263" s="136">
        <f t="shared" si="583"/>
        <v>0</v>
      </c>
      <c r="BG263" s="136">
        <f t="shared" si="583"/>
        <v>160829.95300000001</v>
      </c>
      <c r="BH263" s="136">
        <f t="shared" si="583"/>
        <v>409591.25300000003</v>
      </c>
      <c r="BI263" s="136">
        <f>BI264+BI267</f>
        <v>0</v>
      </c>
      <c r="BJ263" s="136">
        <f>BJ264+BJ267+BJ268</f>
        <v>409591.25300000003</v>
      </c>
      <c r="BK263" s="264">
        <v>1</v>
      </c>
      <c r="BL263" s="136">
        <f t="shared" ref="BL263:BL270" si="584">AY263</f>
        <v>248761.3</v>
      </c>
      <c r="BM263" s="136">
        <f>BM264+BM267+BM268</f>
        <v>0</v>
      </c>
      <c r="BN263" s="136">
        <f>BN264+BN267</f>
        <v>0</v>
      </c>
      <c r="BO263" s="136">
        <f>BO264+BO267+BO268</f>
        <v>0</v>
      </c>
      <c r="BP263" s="136">
        <f>BP264+BP267+BP268</f>
        <v>0</v>
      </c>
      <c r="BQ263" s="136">
        <f>BQ264+BQ267</f>
        <v>0</v>
      </c>
      <c r="BR263" s="136">
        <f>BR264+BR267+BR268</f>
        <v>0</v>
      </c>
      <c r="BS263" s="136">
        <f>BS264+BS267+BS268</f>
        <v>409591.25300000003</v>
      </c>
      <c r="BT263" s="136">
        <f>BT264+BT267</f>
        <v>0</v>
      </c>
      <c r="BU263" s="136">
        <f t="shared" ref="BU263:CD263" si="585">BU264+BU267+BU268</f>
        <v>409591.25300000003</v>
      </c>
      <c r="BV263" s="136">
        <f t="shared" si="585"/>
        <v>248761.3</v>
      </c>
      <c r="BW263" s="136">
        <f t="shared" si="585"/>
        <v>0</v>
      </c>
      <c r="BX263" s="136">
        <f t="shared" si="585"/>
        <v>248761.3</v>
      </c>
      <c r="BY263" s="136">
        <f t="shared" si="585"/>
        <v>-54591.252999999997</v>
      </c>
      <c r="BZ263" s="136">
        <f t="shared" si="585"/>
        <v>0</v>
      </c>
      <c r="CA263" s="136">
        <f t="shared" si="585"/>
        <v>-54591.252999999997</v>
      </c>
      <c r="CB263" s="136">
        <f t="shared" si="585"/>
        <v>355000</v>
      </c>
      <c r="CC263" s="136">
        <f t="shared" si="585"/>
        <v>0</v>
      </c>
      <c r="CD263" s="136">
        <f t="shared" si="585"/>
        <v>355000</v>
      </c>
      <c r="CE263" s="264">
        <v>1</v>
      </c>
      <c r="CF263" s="136">
        <f t="shared" ref="CF263:CF270" si="586">BV263</f>
        <v>248761.3</v>
      </c>
      <c r="CG263" s="136"/>
      <c r="CH263" s="136" t="e">
        <f>CI263+CJ263</f>
        <v>#REF!</v>
      </c>
      <c r="CI263" s="136"/>
      <c r="CJ263" s="136" t="e">
        <f t="shared" ref="CJ263:CQ263" si="587">CJ264+CJ267+CJ268</f>
        <v>#REF!</v>
      </c>
      <c r="CK263" s="136" t="e">
        <f t="shared" si="587"/>
        <v>#REF!</v>
      </c>
      <c r="CL263" s="136">
        <f t="shared" si="587"/>
        <v>0</v>
      </c>
      <c r="CM263" s="136" t="e">
        <f t="shared" si="587"/>
        <v>#REF!</v>
      </c>
      <c r="CN263" s="136">
        <f t="shared" si="587"/>
        <v>0</v>
      </c>
      <c r="CO263" s="136">
        <f t="shared" si="587"/>
        <v>0</v>
      </c>
      <c r="CP263" s="136">
        <f t="shared" si="587"/>
        <v>0</v>
      </c>
      <c r="CQ263" s="136">
        <f t="shared" si="587"/>
        <v>488740.28</v>
      </c>
      <c r="CR263" s="136"/>
      <c r="CS263" s="136">
        <f t="shared" ref="CS263:CZ263" si="588">CS264+CS267+CS268</f>
        <v>488740.28</v>
      </c>
      <c r="CT263" s="136">
        <f t="shared" si="588"/>
        <v>340071</v>
      </c>
      <c r="CU263" s="136">
        <f t="shared" si="588"/>
        <v>0</v>
      </c>
      <c r="CV263" s="136">
        <f t="shared" si="588"/>
        <v>340071</v>
      </c>
      <c r="CW263" s="136">
        <f t="shared" si="588"/>
        <v>964852.10600000003</v>
      </c>
      <c r="CX263" s="136">
        <f t="shared" si="588"/>
        <v>0</v>
      </c>
      <c r="CY263" s="136">
        <f t="shared" si="588"/>
        <v>964852.10600000003</v>
      </c>
      <c r="CZ263" s="136">
        <f t="shared" si="588"/>
        <v>488740.28</v>
      </c>
      <c r="DA263" s="136"/>
      <c r="DB263" s="136">
        <f>DB264+DB267+DB268</f>
        <v>488740.28</v>
      </c>
      <c r="DC263" s="136">
        <f>DD263+DE263</f>
        <v>380350</v>
      </c>
      <c r="DD263" s="136"/>
      <c r="DE263" s="136">
        <f>DE264+DE267</f>
        <v>380350</v>
      </c>
      <c r="DF263" s="136">
        <f>DF264+DF267+DF268</f>
        <v>0</v>
      </c>
      <c r="DG263" s="136">
        <f>DG264+DG267+DG268</f>
        <v>0</v>
      </c>
      <c r="DH263" s="136">
        <f>DH264+DH267+DH268</f>
        <v>0</v>
      </c>
      <c r="DI263" s="136">
        <f>DI264+DI267+DI268</f>
        <v>964852.10600000003</v>
      </c>
      <c r="DJ263" s="136">
        <f>DJ264+DJ267+DJ268</f>
        <v>0</v>
      </c>
      <c r="DK263" s="136">
        <f>DK264+DK267</f>
        <v>964852.10600000003</v>
      </c>
      <c r="DL263" s="136">
        <f>DL264+DL267+DL268</f>
        <v>0</v>
      </c>
      <c r="DM263" s="136">
        <f>DM264+DM267+DM268</f>
        <v>0</v>
      </c>
      <c r="DN263" s="136">
        <f>DN264+DN267</f>
        <v>0</v>
      </c>
      <c r="DO263" s="136">
        <f>DO264+DO267+DO268</f>
        <v>0</v>
      </c>
      <c r="DP263" s="136">
        <f>DP264+DP267+DP268</f>
        <v>0</v>
      </c>
      <c r="DQ263" s="136">
        <f>DQ264+DQ267</f>
        <v>0</v>
      </c>
      <c r="DR263" s="136">
        <f>DR264+DR267+DR268</f>
        <v>964852.10600000003</v>
      </c>
      <c r="DS263" s="136">
        <f>DS264+DS267+DS268</f>
        <v>0</v>
      </c>
      <c r="DT263" s="136">
        <f>DT264+DT267</f>
        <v>964852.10600000003</v>
      </c>
      <c r="DU263" s="136">
        <f>DU264+DU267+DU268</f>
        <v>869090.28</v>
      </c>
      <c r="DV263" s="136"/>
      <c r="DW263" s="136">
        <f>DW264+DW267+DW268</f>
        <v>869090.28</v>
      </c>
      <c r="DX263" s="136">
        <f>DX264+DX267+DX268</f>
        <v>274259.3</v>
      </c>
      <c r="DY263" s="136"/>
      <c r="DZ263" s="136">
        <f>DZ264+DZ267+DZ268</f>
        <v>274259.3</v>
      </c>
      <c r="EA263" s="136">
        <f>EA264+EA267+EA268</f>
        <v>443142</v>
      </c>
      <c r="EB263" s="136"/>
      <c r="EC263" s="136">
        <f>EC264+EC267+EC268</f>
        <v>443142</v>
      </c>
      <c r="ED263" s="136"/>
      <c r="EE263" s="136"/>
      <c r="EF263" s="136"/>
      <c r="EG263" s="136">
        <f>EH263+EI263+EJ263</f>
        <v>852734.6</v>
      </c>
      <c r="EH263" s="136"/>
      <c r="EI263" s="136"/>
      <c r="EJ263" s="136">
        <f>EJ264+EJ267</f>
        <v>852734.6</v>
      </c>
      <c r="EK263" s="136">
        <f>EK264+EK267+EK268</f>
        <v>0</v>
      </c>
      <c r="EL263" s="136">
        <f>EL264+EL267+EL268</f>
        <v>0</v>
      </c>
      <c r="EM263" s="136"/>
      <c r="EN263" s="136">
        <f>EN264+EN267+EN268</f>
        <v>0</v>
      </c>
      <c r="EO263" s="136">
        <f>EO264+EO267+EO268</f>
        <v>0</v>
      </c>
      <c r="EP263" s="136">
        <f>EP264+EP267+EP268</f>
        <v>0</v>
      </c>
      <c r="EQ263" s="136"/>
      <c r="ER263" s="136">
        <f>ER264+ER267+ER268</f>
        <v>0</v>
      </c>
      <c r="ES263" s="136">
        <f>ET263+EV263</f>
        <v>-107127.26874999993</v>
      </c>
      <c r="ET263" s="136"/>
      <c r="EU263" s="136"/>
      <c r="EV263" s="136">
        <f>EV264+EV267</f>
        <v>-107127.26874999993</v>
      </c>
      <c r="EW263" s="136">
        <f>EW264+EW267+EW268</f>
        <v>717401.3</v>
      </c>
      <c r="EX263" s="136"/>
      <c r="EY263" s="136">
        <f>EY264+EY267+EY268</f>
        <v>717401.3</v>
      </c>
      <c r="EZ263" s="136"/>
      <c r="FA263" s="136"/>
      <c r="FB263" s="136"/>
      <c r="FC263" s="134">
        <f>FD263+FE263+FF263</f>
        <v>1154337.83125</v>
      </c>
      <c r="FD263" s="134"/>
      <c r="FE263" s="134"/>
      <c r="FF263" s="134">
        <f>FF264+FF267+FF268</f>
        <v>1154337.83125</v>
      </c>
      <c r="FG263" s="134">
        <f>FH263+FI263+FJ263</f>
        <v>-11127.599999999977</v>
      </c>
      <c r="FH263" s="134">
        <f>FH264+FH267+FH268</f>
        <v>0</v>
      </c>
      <c r="FI263" s="134"/>
      <c r="FJ263" s="134">
        <f>FJ264+FJ267</f>
        <v>-11127.599999999977</v>
      </c>
      <c r="FK263" s="134">
        <f>FK264+FK267+FK268</f>
        <v>0</v>
      </c>
      <c r="FL263" s="134">
        <f>FL264+FL267+FL268</f>
        <v>0</v>
      </c>
      <c r="FM263" s="134"/>
      <c r="FN263" s="134">
        <f>FN264+FN267+FN268</f>
        <v>0</v>
      </c>
      <c r="FO263" s="134">
        <f>FP263+FQ263+FR263</f>
        <v>1145607.33125</v>
      </c>
      <c r="FP263" s="134"/>
      <c r="FQ263" s="134"/>
      <c r="FR263" s="134">
        <f>FR264+FR267</f>
        <v>1145607.33125</v>
      </c>
      <c r="FS263" s="134">
        <f>FY263</f>
        <v>364582.71830000001</v>
      </c>
      <c r="FT263" s="585">
        <f t="shared" si="506"/>
        <v>0.31583710455474168</v>
      </c>
      <c r="FU263" s="134"/>
      <c r="FV263" s="585">
        <v>0</v>
      </c>
      <c r="FW263" s="136"/>
      <c r="FX263" s="136"/>
      <c r="FY263" s="134">
        <f>FY264+FY267+FY268</f>
        <v>364582.71830000001</v>
      </c>
      <c r="FZ263" s="585">
        <f>FY263/FF263</f>
        <v>0.31583710455474168</v>
      </c>
      <c r="GA263" s="134">
        <f>GG263</f>
        <v>364582.71830000001</v>
      </c>
      <c r="GB263" s="585">
        <f>GA263/FF263</f>
        <v>0.31583710455474168</v>
      </c>
      <c r="GC263" s="134"/>
      <c r="GD263" s="585"/>
      <c r="GE263" s="134"/>
      <c r="GF263" s="136"/>
      <c r="GG263" s="136">
        <f>GG264+GG267+GG268</f>
        <v>364582.71830000001</v>
      </c>
      <c r="GH263" s="578">
        <f>GG263/FF263</f>
        <v>0.31583710455474168</v>
      </c>
      <c r="GI263" s="134">
        <f>GO263</f>
        <v>1149000.5666400001</v>
      </c>
      <c r="GJ263" s="585">
        <f t="shared" si="471"/>
        <v>0.99537634090687266</v>
      </c>
      <c r="GK263" s="134"/>
      <c r="GL263" s="585">
        <v>0</v>
      </c>
      <c r="GM263" s="134"/>
      <c r="GN263" s="585"/>
      <c r="GO263" s="134">
        <f>GO264+GO267</f>
        <v>1149000.5666400001</v>
      </c>
      <c r="GP263" s="585">
        <f>GO263/FF263</f>
        <v>0.99537634090687266</v>
      </c>
      <c r="GQ263" s="136"/>
      <c r="GR263" s="136"/>
      <c r="GS263" s="136"/>
      <c r="GT263" s="136"/>
      <c r="GU263" s="136">
        <f>GU264+GU267+GU268</f>
        <v>937972.3</v>
      </c>
      <c r="GV263" s="136"/>
      <c r="GW263" s="136"/>
      <c r="GX263" s="136">
        <f>GX264+GX267+GX268</f>
        <v>937972.3</v>
      </c>
      <c r="GY263" s="136"/>
      <c r="GZ263" s="136"/>
      <c r="HA263" s="136"/>
      <c r="HB263" s="136"/>
      <c r="HC263" s="136"/>
      <c r="HD263" s="136"/>
      <c r="HE263" s="136"/>
      <c r="HF263" s="136"/>
      <c r="HG263" s="136">
        <f>HG264+HG267+HG268</f>
        <v>0</v>
      </c>
      <c r="HH263" s="136"/>
      <c r="HI263" s="136"/>
      <c r="HJ263" s="136">
        <f>HJ264+HJ267+HJ268</f>
        <v>0</v>
      </c>
      <c r="HK263" s="136">
        <f>HN263</f>
        <v>0</v>
      </c>
      <c r="HL263" s="136"/>
      <c r="HM263" s="136"/>
      <c r="HN263" s="136">
        <f>HN264+HN267+HN268</f>
        <v>0</v>
      </c>
      <c r="HO263" s="136">
        <f>HO264+HO267+HO268</f>
        <v>937972.3</v>
      </c>
      <c r="HP263" s="136"/>
      <c r="HQ263" s="136"/>
      <c r="HR263" s="136">
        <f>HR264+HR267+HR268</f>
        <v>937972.3</v>
      </c>
      <c r="HS263" s="136">
        <f>HS264+HS267+HS268</f>
        <v>761787.16299999994</v>
      </c>
      <c r="HT263" s="136"/>
      <c r="HU263" s="136"/>
      <c r="HV263" s="136">
        <f>HV264+HV267+HV268</f>
        <v>761787.16299999994</v>
      </c>
      <c r="HW263" s="136">
        <f>HZ263</f>
        <v>-59671.516709999996</v>
      </c>
      <c r="HX263" s="136"/>
      <c r="HY263" s="136"/>
      <c r="HZ263" s="136">
        <f>HZ264+HZ267+HZ268</f>
        <v>-59671.516709999996</v>
      </c>
      <c r="IA263" s="136">
        <f>IA264+IA267+IA268</f>
        <v>702115.64628999995</v>
      </c>
      <c r="IB263" s="136"/>
      <c r="IC263" s="136"/>
      <c r="ID263" s="136">
        <f>ID264+ID267+ID268</f>
        <v>702115.64628999995</v>
      </c>
      <c r="IE263" s="216"/>
      <c r="IF263" s="238"/>
      <c r="IG263" s="238"/>
      <c r="IH263" s="238"/>
    </row>
    <row r="264" spans="2:249" s="283" customFormat="1" ht="72" customHeight="1" x14ac:dyDescent="0.3">
      <c r="B264" s="149" t="s">
        <v>96</v>
      </c>
      <c r="C264" s="107" t="s">
        <v>344</v>
      </c>
      <c r="D264" s="242" t="s">
        <v>345</v>
      </c>
      <c r="E264" s="192">
        <f>F264+G264</f>
        <v>304000</v>
      </c>
      <c r="F264" s="192"/>
      <c r="G264" s="192">
        <f>G265+G266</f>
        <v>304000</v>
      </c>
      <c r="H264" s="192">
        <f>I264+J264</f>
        <v>0</v>
      </c>
      <c r="I264" s="192"/>
      <c r="J264" s="192">
        <f>J265+J266</f>
        <v>0</v>
      </c>
      <c r="K264" s="192">
        <f>L264+M264</f>
        <v>304000</v>
      </c>
      <c r="L264" s="192"/>
      <c r="M264" s="192">
        <f>M265+M266</f>
        <v>304000</v>
      </c>
      <c r="N264" s="192">
        <f>O264+P264</f>
        <v>0</v>
      </c>
      <c r="O264" s="192"/>
      <c r="P264" s="192">
        <f>P265+P266</f>
        <v>0</v>
      </c>
      <c r="Q264" s="192">
        <f>R264+S264</f>
        <v>304000</v>
      </c>
      <c r="R264" s="192"/>
      <c r="S264" s="192">
        <f>S265+S266</f>
        <v>304000</v>
      </c>
      <c r="T264" s="192">
        <f>U264+V264</f>
        <v>304000</v>
      </c>
      <c r="U264" s="192"/>
      <c r="V264" s="192">
        <v>304000</v>
      </c>
      <c r="W264" s="192">
        <f t="shared" si="580"/>
        <v>-204000</v>
      </c>
      <c r="X264" s="192"/>
      <c r="Y264" s="192">
        <f>AB264-V264</f>
        <v>-204000</v>
      </c>
      <c r="Z264" s="192">
        <f>AA264+AB264</f>
        <v>100000</v>
      </c>
      <c r="AA264" s="192"/>
      <c r="AB264" s="192">
        <v>100000</v>
      </c>
      <c r="AC264" s="192">
        <f>AD264+AE264</f>
        <v>0</v>
      </c>
      <c r="AD264" s="192"/>
      <c r="AE264" s="192">
        <v>0</v>
      </c>
      <c r="AF264" s="192">
        <f>AG264+AH264</f>
        <v>100000</v>
      </c>
      <c r="AG264" s="192"/>
      <c r="AH264" s="192">
        <v>100000</v>
      </c>
      <c r="AI264" s="192">
        <v>0</v>
      </c>
      <c r="AJ264" s="192">
        <v>0</v>
      </c>
      <c r="AK264" s="192">
        <f t="shared" si="582"/>
        <v>100000</v>
      </c>
      <c r="AL264" s="192">
        <f>AA264-AK264</f>
        <v>-100000</v>
      </c>
      <c r="AM264" s="779"/>
      <c r="AN264" s="779"/>
      <c r="AO264" s="192">
        <v>1</v>
      </c>
      <c r="AP264" s="242"/>
      <c r="AQ264" s="242"/>
      <c r="AR264" s="192">
        <f>AF264-AP264-AQ264</f>
        <v>100000</v>
      </c>
      <c r="AS264" s="192">
        <f>AT264+AU264</f>
        <v>148761.29999999999</v>
      </c>
      <c r="AT264" s="192"/>
      <c r="AU264" s="192">
        <f>'[5]2018-2019 _с лимит75и50'!BR148</f>
        <v>148761.29999999999</v>
      </c>
      <c r="AV264" s="192">
        <f>AW264+AX264</f>
        <v>0</v>
      </c>
      <c r="AW264" s="192"/>
      <c r="AX264" s="192">
        <v>0</v>
      </c>
      <c r="AY264" s="192">
        <f>AZ264+BA264</f>
        <v>148761.29999999999</v>
      </c>
      <c r="AZ264" s="281"/>
      <c r="BA264" s="192">
        <f>AU264</f>
        <v>148761.29999999999</v>
      </c>
      <c r="BB264" s="192">
        <f>BC264+BD264</f>
        <v>400000</v>
      </c>
      <c r="BC264" s="192"/>
      <c r="BD264" s="192">
        <v>400000</v>
      </c>
      <c r="BE264" s="192">
        <f>BF264+BG264</f>
        <v>81238.700000000012</v>
      </c>
      <c r="BF264" s="192"/>
      <c r="BG264" s="192">
        <f>BJ264-BA264</f>
        <v>81238.700000000012</v>
      </c>
      <c r="BH264" s="192">
        <f>BI264+BJ264</f>
        <v>230000</v>
      </c>
      <c r="BI264" s="281"/>
      <c r="BJ264" s="192">
        <v>230000</v>
      </c>
      <c r="BK264" s="192">
        <v>1</v>
      </c>
      <c r="BL264" s="153">
        <f t="shared" si="584"/>
        <v>148761.29999999999</v>
      </c>
      <c r="BM264" s="153"/>
      <c r="BN264" s="153"/>
      <c r="BO264" s="153"/>
      <c r="BP264" s="153"/>
      <c r="BQ264" s="153"/>
      <c r="BR264" s="153"/>
      <c r="BS264" s="153">
        <f>BT264+BU264</f>
        <v>230000</v>
      </c>
      <c r="BT264" s="153"/>
      <c r="BU264" s="153">
        <f>BJ264</f>
        <v>230000</v>
      </c>
      <c r="BV264" s="192">
        <f>BW264+BX264</f>
        <v>148761.29999999999</v>
      </c>
      <c r="BW264" s="192"/>
      <c r="BX264" s="192">
        <f>400000-251238.7</f>
        <v>148761.29999999999</v>
      </c>
      <c r="BY264" s="192">
        <f>BZ264+CA264</f>
        <v>0</v>
      </c>
      <c r="BZ264" s="192"/>
      <c r="CA264" s="192">
        <f>CA265+CA266</f>
        <v>0</v>
      </c>
      <c r="CB264" s="192">
        <f>CC264+CD264</f>
        <v>230000</v>
      </c>
      <c r="CC264" s="192"/>
      <c r="CD264" s="192">
        <f>BJ264</f>
        <v>230000</v>
      </c>
      <c r="CE264" s="192">
        <v>1</v>
      </c>
      <c r="CF264" s="153">
        <f t="shared" si="586"/>
        <v>148761.29999999999</v>
      </c>
      <c r="CG264" s="192"/>
      <c r="CH264" s="192">
        <f>CI264+CJ264</f>
        <v>261199.4</v>
      </c>
      <c r="CI264" s="192"/>
      <c r="CJ264" s="192">
        <v>261199.4</v>
      </c>
      <c r="CK264" s="192">
        <f>CL264+CM264</f>
        <v>-31199.399999999994</v>
      </c>
      <c r="CL264" s="192"/>
      <c r="CM264" s="192">
        <f>CS264-CH264</f>
        <v>-31199.399999999994</v>
      </c>
      <c r="CN264" s="192">
        <f t="shared" ref="CN264:CP266" si="589">CN265+CN268</f>
        <v>0</v>
      </c>
      <c r="CO264" s="192">
        <f t="shared" si="589"/>
        <v>0</v>
      </c>
      <c r="CP264" s="192">
        <f t="shared" si="589"/>
        <v>0</v>
      </c>
      <c r="CQ264" s="192">
        <f>CR264+CS264</f>
        <v>230000</v>
      </c>
      <c r="CR264" s="192"/>
      <c r="CS264" s="192">
        <v>230000</v>
      </c>
      <c r="CT264" s="192">
        <f>CU264+CV264</f>
        <v>0</v>
      </c>
      <c r="CU264" s="192"/>
      <c r="CV264" s="192">
        <f>CY264-CD264</f>
        <v>0</v>
      </c>
      <c r="CW264" s="192">
        <f>CX264+CY264</f>
        <v>230000</v>
      </c>
      <c r="CX264" s="192"/>
      <c r="CY264" s="192">
        <v>230000</v>
      </c>
      <c r="CZ264" s="192">
        <f>DA264+DB264</f>
        <v>230000</v>
      </c>
      <c r="DA264" s="192"/>
      <c r="DB264" s="192">
        <v>230000</v>
      </c>
      <c r="DC264" s="192"/>
      <c r="DD264" s="192"/>
      <c r="DE264" s="192"/>
      <c r="DF264" s="192">
        <f>DG264+DH264</f>
        <v>0</v>
      </c>
      <c r="DG264" s="192"/>
      <c r="DH264" s="192">
        <v>0</v>
      </c>
      <c r="DI264" s="192">
        <f>DJ264+DK264</f>
        <v>230000</v>
      </c>
      <c r="DJ264" s="192"/>
      <c r="DK264" s="192">
        <v>230000</v>
      </c>
      <c r="DL264" s="192">
        <f>DM264+DN264</f>
        <v>0</v>
      </c>
      <c r="DM264" s="192"/>
      <c r="DN264" s="192">
        <v>0</v>
      </c>
      <c r="DO264" s="192">
        <f>DP264+DQ264</f>
        <v>0</v>
      </c>
      <c r="DP264" s="192"/>
      <c r="DQ264" s="192">
        <v>0</v>
      </c>
      <c r="DR264" s="192">
        <f>DS264+DT264</f>
        <v>230000</v>
      </c>
      <c r="DS264" s="192"/>
      <c r="DT264" s="192">
        <f>DK264-DN264-DQ264</f>
        <v>230000</v>
      </c>
      <c r="DU264" s="192">
        <f>DV264+DW264</f>
        <v>230000</v>
      </c>
      <c r="DV264" s="192"/>
      <c r="DW264" s="192">
        <v>230000</v>
      </c>
      <c r="DX264" s="192">
        <f>DY264+DZ264</f>
        <v>230000</v>
      </c>
      <c r="DY264" s="192"/>
      <c r="DZ264" s="192">
        <v>230000</v>
      </c>
      <c r="EA264" s="192"/>
      <c r="EB264" s="192"/>
      <c r="EC264" s="192">
        <v>0</v>
      </c>
      <c r="ED264" s="192"/>
      <c r="EE264" s="192"/>
      <c r="EF264" s="192"/>
      <c r="EG264" s="192">
        <f>EJ264</f>
        <v>0</v>
      </c>
      <c r="EH264" s="192"/>
      <c r="EI264" s="192"/>
      <c r="EJ264" s="192">
        <v>0</v>
      </c>
      <c r="EK264" s="192">
        <f>EL264+EN264</f>
        <v>0</v>
      </c>
      <c r="EL264" s="192"/>
      <c r="EM264" s="192"/>
      <c r="EN264" s="192">
        <f>EV264-EJ264</f>
        <v>0</v>
      </c>
      <c r="EO264" s="192">
        <f>EP264+ER264</f>
        <v>0</v>
      </c>
      <c r="EP264" s="192"/>
      <c r="EQ264" s="192"/>
      <c r="ER264" s="192">
        <f>EZ264-EN264</f>
        <v>0</v>
      </c>
      <c r="ES264" s="192">
        <f>ET264+EV264</f>
        <v>0</v>
      </c>
      <c r="ET264" s="192"/>
      <c r="EU264" s="192"/>
      <c r="EV264" s="192"/>
      <c r="EW264" s="192">
        <f>DX264</f>
        <v>230000</v>
      </c>
      <c r="EX264" s="192"/>
      <c r="EY264" s="192">
        <f>DZ264</f>
        <v>230000</v>
      </c>
      <c r="EZ264" s="192"/>
      <c r="FA264" s="192"/>
      <c r="FB264" s="192"/>
      <c r="FC264" s="201">
        <f>FF264</f>
        <v>397602.9</v>
      </c>
      <c r="FD264" s="201"/>
      <c r="FE264" s="201"/>
      <c r="FF264" s="201">
        <v>397602.9</v>
      </c>
      <c r="FG264" s="201">
        <f>FH264+FJ264</f>
        <v>0</v>
      </c>
      <c r="FH264" s="201"/>
      <c r="FI264" s="201"/>
      <c r="FJ264" s="201"/>
      <c r="FK264" s="201">
        <f>FL264+FN264</f>
        <v>0</v>
      </c>
      <c r="FL264" s="201"/>
      <c r="FM264" s="201"/>
      <c r="FN264" s="201"/>
      <c r="FO264" s="201">
        <f>FR264</f>
        <v>400000</v>
      </c>
      <c r="FP264" s="201"/>
      <c r="FQ264" s="201"/>
      <c r="FR264" s="201">
        <v>400000</v>
      </c>
      <c r="FS264" s="201">
        <f>FY264</f>
        <v>161218.14929</v>
      </c>
      <c r="FT264" s="574">
        <f t="shared" si="506"/>
        <v>0.40547528524062576</v>
      </c>
      <c r="FU264" s="201"/>
      <c r="FV264" s="574">
        <v>0</v>
      </c>
      <c r="FW264" s="192"/>
      <c r="FX264" s="192"/>
      <c r="FY264" s="689">
        <f>GG264</f>
        <v>161218.14929</v>
      </c>
      <c r="FZ264" s="574">
        <f t="shared" ref="FZ264:FZ269" si="590">FY264/FF264</f>
        <v>0.40547528524062576</v>
      </c>
      <c r="GA264" s="201">
        <f>GG264</f>
        <v>161218.14929</v>
      </c>
      <c r="GB264" s="574">
        <f>GA264/FF264</f>
        <v>0.40547528524062576</v>
      </c>
      <c r="GC264" s="201"/>
      <c r="GD264" s="582"/>
      <c r="GE264" s="201"/>
      <c r="GF264" s="192"/>
      <c r="GG264" s="201">
        <v>161218.14929</v>
      </c>
      <c r="GH264" s="574">
        <f>GG264/FF264</f>
        <v>0.40547528524062576</v>
      </c>
      <c r="GI264" s="201">
        <f>GO264</f>
        <v>394083.67690000002</v>
      </c>
      <c r="GJ264" s="582">
        <f t="shared" si="471"/>
        <v>0.99114889981939269</v>
      </c>
      <c r="GK264" s="201"/>
      <c r="GL264" s="582">
        <v>0</v>
      </c>
      <c r="GM264" s="201"/>
      <c r="GN264" s="582"/>
      <c r="GO264" s="201">
        <v>394083.67690000002</v>
      </c>
      <c r="GP264" s="582">
        <f t="shared" ref="GP264:GP267" si="591">GO264/FF264</f>
        <v>0.99114889981939269</v>
      </c>
      <c r="GQ264" s="192"/>
      <c r="GR264" s="192"/>
      <c r="GS264" s="192"/>
      <c r="GT264" s="192"/>
      <c r="GU264" s="192">
        <f>GX264</f>
        <v>0</v>
      </c>
      <c r="GV264" s="192"/>
      <c r="GW264" s="192"/>
      <c r="GX264" s="192">
        <v>0</v>
      </c>
      <c r="GY264" s="192"/>
      <c r="GZ264" s="192"/>
      <c r="HA264" s="192"/>
      <c r="HB264" s="192"/>
      <c r="HC264" s="192"/>
      <c r="HD264" s="192"/>
      <c r="HE264" s="192"/>
      <c r="HF264" s="192"/>
      <c r="HG264" s="192">
        <v>0</v>
      </c>
      <c r="HH264" s="192"/>
      <c r="HI264" s="192"/>
      <c r="HJ264" s="192">
        <v>0</v>
      </c>
      <c r="HK264" s="192">
        <v>0</v>
      </c>
      <c r="HL264" s="192"/>
      <c r="HM264" s="192"/>
      <c r="HN264" s="192">
        <v>0</v>
      </c>
      <c r="HO264" s="192">
        <f>HR264</f>
        <v>0</v>
      </c>
      <c r="HP264" s="192"/>
      <c r="HQ264" s="192"/>
      <c r="HR264" s="192">
        <f>GX264</f>
        <v>0</v>
      </c>
      <c r="HS264" s="192">
        <f>HV264</f>
        <v>0</v>
      </c>
      <c r="HT264" s="192"/>
      <c r="HU264" s="192"/>
      <c r="HV264" s="192">
        <v>0</v>
      </c>
      <c r="HW264" s="192">
        <v>0</v>
      </c>
      <c r="HX264" s="192"/>
      <c r="HY264" s="192"/>
      <c r="HZ264" s="192">
        <v>0</v>
      </c>
      <c r="IA264" s="192">
        <f>ID264</f>
        <v>0</v>
      </c>
      <c r="IB264" s="192"/>
      <c r="IC264" s="192"/>
      <c r="ID264" s="192">
        <v>0</v>
      </c>
      <c r="IE264" s="196" t="s">
        <v>346</v>
      </c>
      <c r="IF264" s="282"/>
      <c r="IG264" s="282"/>
      <c r="IH264" s="282"/>
    </row>
    <row r="265" spans="2:249" s="286" customFormat="1" ht="25.5" hidden="1" customHeight="1" x14ac:dyDescent="0.3">
      <c r="B265" s="149"/>
      <c r="C265" s="111" t="s">
        <v>347</v>
      </c>
      <c r="D265" s="273"/>
      <c r="E265" s="181">
        <f>G265</f>
        <v>304000</v>
      </c>
      <c r="F265" s="181"/>
      <c r="G265" s="181">
        <v>304000</v>
      </c>
      <c r="H265" s="181">
        <f>J265</f>
        <v>0</v>
      </c>
      <c r="I265" s="189"/>
      <c r="J265" s="189">
        <f>M265-G265</f>
        <v>0</v>
      </c>
      <c r="K265" s="181">
        <f>M265</f>
        <v>304000</v>
      </c>
      <c r="L265" s="181"/>
      <c r="M265" s="181">
        <v>304000</v>
      </c>
      <c r="N265" s="181">
        <f>P265</f>
        <v>0</v>
      </c>
      <c r="O265" s="189"/>
      <c r="P265" s="189">
        <f>S265-M265</f>
        <v>0</v>
      </c>
      <c r="Q265" s="181">
        <f>S265</f>
        <v>304000</v>
      </c>
      <c r="R265" s="181"/>
      <c r="S265" s="181">
        <v>304000</v>
      </c>
      <c r="T265" s="181">
        <f>U265+V265</f>
        <v>304000</v>
      </c>
      <c r="U265" s="181"/>
      <c r="V265" s="181">
        <v>304000</v>
      </c>
      <c r="W265" s="181">
        <f t="shared" si="580"/>
        <v>-304000</v>
      </c>
      <c r="X265" s="189"/>
      <c r="Y265" s="189">
        <f>AB265-V265</f>
        <v>-304000</v>
      </c>
      <c r="Z265" s="181">
        <f>AB265</f>
        <v>0</v>
      </c>
      <c r="AA265" s="181"/>
      <c r="AB265" s="181">
        <v>0</v>
      </c>
      <c r="AC265" s="181">
        <f>AE265</f>
        <v>0</v>
      </c>
      <c r="AD265" s="181"/>
      <c r="AE265" s="181">
        <v>0</v>
      </c>
      <c r="AF265" s="181">
        <f>AH265</f>
        <v>0</v>
      </c>
      <c r="AG265" s="181"/>
      <c r="AH265" s="181">
        <v>0</v>
      </c>
      <c r="AI265" s="181">
        <v>0</v>
      </c>
      <c r="AJ265" s="181">
        <v>0</v>
      </c>
      <c r="AK265" s="181">
        <f t="shared" si="582"/>
        <v>0</v>
      </c>
      <c r="AL265" s="181">
        <f>AA265-AK265</f>
        <v>0</v>
      </c>
      <c r="AM265" s="779"/>
      <c r="AN265" s="779"/>
      <c r="AO265" s="181">
        <v>1</v>
      </c>
      <c r="AP265" s="195"/>
      <c r="AQ265" s="195"/>
      <c r="AR265" s="181">
        <f>AF265-AP265-AQ265</f>
        <v>0</v>
      </c>
      <c r="AS265" s="181" t="e">
        <f>AU265</f>
        <v>#REF!</v>
      </c>
      <c r="AT265" s="181"/>
      <c r="AU265" s="181" t="e">
        <f>'[5]2018-2019 _с лимит75и50'!BR149</f>
        <v>#REF!</v>
      </c>
      <c r="AV265" s="181" t="e">
        <f>AX265</f>
        <v>#REF!</v>
      </c>
      <c r="AW265" s="189"/>
      <c r="AX265" s="189" t="e">
        <f>#REF!-AU265</f>
        <v>#REF!</v>
      </c>
      <c r="AY265" s="181" t="e">
        <f>#REF!</f>
        <v>#REF!</v>
      </c>
      <c r="AZ265" s="284"/>
      <c r="BA265" s="181" t="e">
        <f>AU265</f>
        <v>#REF!</v>
      </c>
      <c r="BB265" s="181">
        <f>BD265</f>
        <v>0</v>
      </c>
      <c r="BC265" s="181"/>
      <c r="BD265" s="181"/>
      <c r="BE265" s="181" t="e">
        <f>BG265</f>
        <v>#REF!</v>
      </c>
      <c r="BF265" s="189"/>
      <c r="BG265" s="181" t="e">
        <f>BJ265-BA265</f>
        <v>#REF!</v>
      </c>
      <c r="BH265" s="181" t="e">
        <f>#REF!</f>
        <v>#REF!</v>
      </c>
      <c r="BI265" s="284"/>
      <c r="BJ265" s="181">
        <f>BD265</f>
        <v>0</v>
      </c>
      <c r="BK265" s="181">
        <v>1</v>
      </c>
      <c r="BL265" s="105" t="e">
        <f t="shared" si="584"/>
        <v>#REF!</v>
      </c>
      <c r="BM265" s="105"/>
      <c r="BN265" s="105"/>
      <c r="BO265" s="105"/>
      <c r="BP265" s="105"/>
      <c r="BQ265" s="105"/>
      <c r="BR265" s="105"/>
      <c r="BS265" s="105">
        <f>BT265+BU265</f>
        <v>0</v>
      </c>
      <c r="BT265" s="105"/>
      <c r="BU265" s="105">
        <f>BJ265</f>
        <v>0</v>
      </c>
      <c r="BV265" s="181">
        <f>BX265</f>
        <v>0</v>
      </c>
      <c r="BW265" s="181"/>
      <c r="BX265" s="181"/>
      <c r="BY265" s="181">
        <f>CA265</f>
        <v>0</v>
      </c>
      <c r="BZ265" s="189"/>
      <c r="CA265" s="189">
        <f>CD265-BX265</f>
        <v>0</v>
      </c>
      <c r="CB265" s="181">
        <f>CD265</f>
        <v>0</v>
      </c>
      <c r="CC265" s="181"/>
      <c r="CD265" s="181"/>
      <c r="CE265" s="181">
        <v>1</v>
      </c>
      <c r="CF265" s="105">
        <f t="shared" si="586"/>
        <v>0</v>
      </c>
      <c r="CG265" s="181"/>
      <c r="CH265" s="181" t="e">
        <f>CJ265</f>
        <v>#REF!</v>
      </c>
      <c r="CI265" s="181"/>
      <c r="CJ265" s="181" t="e">
        <f>'[5]2018-2019 _с лимит75и50'!DD149</f>
        <v>#REF!</v>
      </c>
      <c r="CK265" s="181" t="e">
        <f>CM265</f>
        <v>#REF!</v>
      </c>
      <c r="CL265" s="189"/>
      <c r="CM265" s="181" t="e">
        <f>CS265-CH265</f>
        <v>#REF!</v>
      </c>
      <c r="CN265" s="181">
        <f t="shared" si="589"/>
        <v>0</v>
      </c>
      <c r="CO265" s="181">
        <f t="shared" si="589"/>
        <v>0</v>
      </c>
      <c r="CP265" s="181">
        <f t="shared" si="589"/>
        <v>0</v>
      </c>
      <c r="CQ265" s="181" t="e">
        <f>#REF!</f>
        <v>#REF!</v>
      </c>
      <c r="CR265" s="181"/>
      <c r="CS265" s="181">
        <v>230000</v>
      </c>
      <c r="CT265" s="181">
        <f>CV265</f>
        <v>0</v>
      </c>
      <c r="CU265" s="181"/>
      <c r="CV265" s="181"/>
      <c r="CW265" s="181"/>
      <c r="CX265" s="181"/>
      <c r="CY265" s="181"/>
      <c r="CZ265" s="181"/>
      <c r="DA265" s="181"/>
      <c r="DB265" s="181"/>
      <c r="DC265" s="181"/>
      <c r="DD265" s="181"/>
      <c r="DE265" s="181"/>
      <c r="DF265" s="181"/>
      <c r="DG265" s="181"/>
      <c r="DH265" s="181"/>
      <c r="DI265" s="181"/>
      <c r="DJ265" s="181"/>
      <c r="DK265" s="181"/>
      <c r="DL265" s="181"/>
      <c r="DM265" s="181"/>
      <c r="DN265" s="181"/>
      <c r="DO265" s="181"/>
      <c r="DP265" s="181"/>
      <c r="DQ265" s="181"/>
      <c r="DR265" s="181"/>
      <c r="DS265" s="181"/>
      <c r="DT265" s="181">
        <f>DK265-DN265-DQ265</f>
        <v>0</v>
      </c>
      <c r="DU265" s="181"/>
      <c r="DV265" s="181"/>
      <c r="DW265" s="181"/>
      <c r="DX265" s="181"/>
      <c r="DY265" s="181"/>
      <c r="DZ265" s="181"/>
      <c r="EA265" s="181"/>
      <c r="EB265" s="181"/>
      <c r="EC265" s="181"/>
      <c r="ED265" s="181"/>
      <c r="EE265" s="181"/>
      <c r="EF265" s="181"/>
      <c r="EG265" s="181"/>
      <c r="EH265" s="181"/>
      <c r="EI265" s="181"/>
      <c r="EJ265" s="192">
        <f>DX265</f>
        <v>0</v>
      </c>
      <c r="EK265" s="181"/>
      <c r="EL265" s="181"/>
      <c r="EM265" s="181"/>
      <c r="EN265" s="192">
        <f>EV265-EJ265</f>
        <v>0</v>
      </c>
      <c r="EO265" s="181"/>
      <c r="EP265" s="181"/>
      <c r="EQ265" s="181"/>
      <c r="ER265" s="192">
        <f>EZ265-EN265</f>
        <v>0</v>
      </c>
      <c r="ES265" s="181">
        <f>ET265+EV265</f>
        <v>0</v>
      </c>
      <c r="ET265" s="181"/>
      <c r="EU265" s="181"/>
      <c r="EV265" s="192">
        <f>EJ265</f>
        <v>0</v>
      </c>
      <c r="EW265" s="181"/>
      <c r="EX265" s="181"/>
      <c r="EY265" s="181"/>
      <c r="EZ265" s="181"/>
      <c r="FA265" s="181"/>
      <c r="FB265" s="181"/>
      <c r="FC265" s="180"/>
      <c r="FD265" s="180"/>
      <c r="FE265" s="180"/>
      <c r="FF265" s="180"/>
      <c r="FG265" s="180"/>
      <c r="FH265" s="180"/>
      <c r="FI265" s="180"/>
      <c r="FJ265" s="180"/>
      <c r="FK265" s="180"/>
      <c r="FL265" s="180"/>
      <c r="FM265" s="180"/>
      <c r="FN265" s="201">
        <f>GX265-FJ265</f>
        <v>0</v>
      </c>
      <c r="FO265" s="180"/>
      <c r="FP265" s="180"/>
      <c r="FQ265" s="180"/>
      <c r="FR265" s="201">
        <f>FF265</f>
        <v>0</v>
      </c>
      <c r="FS265" s="201"/>
      <c r="FT265" s="574" t="e">
        <f t="shared" si="506"/>
        <v>#DIV/0!</v>
      </c>
      <c r="FU265" s="201"/>
      <c r="FV265" s="574" t="e">
        <f t="shared" si="507"/>
        <v>#DIV/0!</v>
      </c>
      <c r="FW265" s="192"/>
      <c r="FX265" s="192"/>
      <c r="FY265" s="181"/>
      <c r="FZ265" s="574" t="e">
        <f t="shared" si="590"/>
        <v>#DIV/0!</v>
      </c>
      <c r="GA265" s="201">
        <f>GG265</f>
        <v>0</v>
      </c>
      <c r="GB265" s="574" t="e">
        <f>GA265/FF265</f>
        <v>#DIV/0!</v>
      </c>
      <c r="GC265" s="201"/>
      <c r="GD265" s="582"/>
      <c r="GE265" s="201"/>
      <c r="GF265" s="192"/>
      <c r="GG265" s="201"/>
      <c r="GH265" s="574" t="e">
        <f>GG265/FF265</f>
        <v>#DIV/0!</v>
      </c>
      <c r="GI265" s="201"/>
      <c r="GJ265" s="582" t="e">
        <f t="shared" si="471"/>
        <v>#DIV/0!</v>
      </c>
      <c r="GK265" s="201"/>
      <c r="GL265" s="582" t="e">
        <f t="shared" si="472"/>
        <v>#DIV/0!</v>
      </c>
      <c r="GM265" s="201"/>
      <c r="GN265" s="582"/>
      <c r="GO265" s="201"/>
      <c r="GP265" s="582" t="e">
        <f t="shared" si="591"/>
        <v>#DIV/0!</v>
      </c>
      <c r="GQ265" s="192"/>
      <c r="GR265" s="192"/>
      <c r="GS265" s="192"/>
      <c r="GT265" s="192"/>
      <c r="GU265" s="181"/>
      <c r="GV265" s="181"/>
      <c r="GW265" s="181"/>
      <c r="GX265" s="181"/>
      <c r="GY265" s="181"/>
      <c r="GZ265" s="181"/>
      <c r="HA265" s="181"/>
      <c r="HB265" s="181"/>
      <c r="HC265" s="181"/>
      <c r="HD265" s="181"/>
      <c r="HE265" s="181"/>
      <c r="HF265" s="181"/>
      <c r="HG265" s="181"/>
      <c r="HH265" s="181"/>
      <c r="HI265" s="181"/>
      <c r="HJ265" s="181"/>
      <c r="HK265" s="181"/>
      <c r="HL265" s="181"/>
      <c r="HM265" s="181"/>
      <c r="HN265" s="181"/>
      <c r="HO265" s="181"/>
      <c r="HP265" s="181"/>
      <c r="HQ265" s="181"/>
      <c r="HR265" s="181"/>
      <c r="HS265" s="181"/>
      <c r="HT265" s="181"/>
      <c r="HU265" s="181"/>
      <c r="HV265" s="181"/>
      <c r="HW265" s="181"/>
      <c r="HX265" s="181"/>
      <c r="HY265" s="181"/>
      <c r="HZ265" s="181"/>
      <c r="IA265" s="181"/>
      <c r="IB265" s="181"/>
      <c r="IC265" s="181"/>
      <c r="ID265" s="181"/>
      <c r="IE265" s="285"/>
      <c r="IF265" s="277"/>
      <c r="IG265" s="277"/>
      <c r="IH265" s="277"/>
    </row>
    <row r="266" spans="2:249" s="283" customFormat="1" ht="22.5" hidden="1" customHeight="1" x14ac:dyDescent="0.3">
      <c r="B266" s="149"/>
      <c r="C266" s="111" t="s">
        <v>348</v>
      </c>
      <c r="D266" s="273" t="s">
        <v>349</v>
      </c>
      <c r="E266" s="181">
        <f>G266</f>
        <v>0</v>
      </c>
      <c r="F266" s="181"/>
      <c r="G266" s="181"/>
      <c r="H266" s="181">
        <f>J266</f>
        <v>0</v>
      </c>
      <c r="I266" s="189"/>
      <c r="J266" s="189">
        <f>M266-G266</f>
        <v>0</v>
      </c>
      <c r="K266" s="181">
        <f>M266</f>
        <v>0</v>
      </c>
      <c r="L266" s="181"/>
      <c r="M266" s="181"/>
      <c r="N266" s="181">
        <f>P266</f>
        <v>0</v>
      </c>
      <c r="O266" s="189"/>
      <c r="P266" s="189">
        <f>S266-M266</f>
        <v>0</v>
      </c>
      <c r="Q266" s="181">
        <f>S266</f>
        <v>0</v>
      </c>
      <c r="R266" s="181"/>
      <c r="S266" s="181"/>
      <c r="T266" s="181">
        <f>V266</f>
        <v>0</v>
      </c>
      <c r="U266" s="181"/>
      <c r="V266" s="181"/>
      <c r="W266" s="181">
        <f t="shared" si="580"/>
        <v>0</v>
      </c>
      <c r="X266" s="189"/>
      <c r="Y266" s="189">
        <f>AB266-V266</f>
        <v>0</v>
      </c>
      <c r="Z266" s="181">
        <f>AB266</f>
        <v>0</v>
      </c>
      <c r="AA266" s="181"/>
      <c r="AB266" s="181"/>
      <c r="AC266" s="181">
        <f>AE266</f>
        <v>0</v>
      </c>
      <c r="AD266" s="181"/>
      <c r="AE266" s="181"/>
      <c r="AF266" s="181">
        <f>AH266</f>
        <v>0</v>
      </c>
      <c r="AG266" s="181"/>
      <c r="AH266" s="181"/>
      <c r="AI266" s="181"/>
      <c r="AJ266" s="181">
        <v>0</v>
      </c>
      <c r="AK266" s="181">
        <f t="shared" si="582"/>
        <v>0</v>
      </c>
      <c r="AL266" s="181">
        <f>AA266-AK266</f>
        <v>0</v>
      </c>
      <c r="AM266" s="779"/>
      <c r="AN266" s="779"/>
      <c r="AO266" s="181">
        <v>1</v>
      </c>
      <c r="AP266" s="195"/>
      <c r="AQ266" s="195"/>
      <c r="AR266" s="181">
        <f>AF266-AP266-AQ266</f>
        <v>0</v>
      </c>
      <c r="AS266" s="181" t="e">
        <f>AU266</f>
        <v>#REF!</v>
      </c>
      <c r="AT266" s="181"/>
      <c r="AU266" s="181" t="e">
        <f>'[5]2018-2019 _с лимит75и50'!BR150</f>
        <v>#REF!</v>
      </c>
      <c r="AV266" s="181" t="e">
        <f>AX266</f>
        <v>#REF!</v>
      </c>
      <c r="AW266" s="189"/>
      <c r="AX266" s="189" t="e">
        <f>#REF!-AU266</f>
        <v>#REF!</v>
      </c>
      <c r="AY266" s="181" t="e">
        <f>#REF!</f>
        <v>#REF!</v>
      </c>
      <c r="AZ266" s="281"/>
      <c r="BA266" s="181" t="e">
        <f>AU266</f>
        <v>#REF!</v>
      </c>
      <c r="BB266" s="181">
        <f>BD266</f>
        <v>0</v>
      </c>
      <c r="BC266" s="181"/>
      <c r="BD266" s="181"/>
      <c r="BE266" s="181" t="e">
        <f>BG266</f>
        <v>#REF!</v>
      </c>
      <c r="BF266" s="189"/>
      <c r="BG266" s="181" t="e">
        <f>BJ266-BA266</f>
        <v>#REF!</v>
      </c>
      <c r="BH266" s="181" t="e">
        <f>#REF!</f>
        <v>#REF!</v>
      </c>
      <c r="BI266" s="281"/>
      <c r="BJ266" s="181">
        <f>BD266</f>
        <v>0</v>
      </c>
      <c r="BK266" s="181">
        <v>1</v>
      </c>
      <c r="BL266" s="105" t="e">
        <f t="shared" si="584"/>
        <v>#REF!</v>
      </c>
      <c r="BM266" s="105"/>
      <c r="BN266" s="105"/>
      <c r="BO266" s="105"/>
      <c r="BP266" s="105"/>
      <c r="BQ266" s="105"/>
      <c r="BR266" s="105"/>
      <c r="BS266" s="105">
        <f>BT266+BU266</f>
        <v>0</v>
      </c>
      <c r="BT266" s="105"/>
      <c r="BU266" s="105">
        <f>BJ266</f>
        <v>0</v>
      </c>
      <c r="BV266" s="181">
        <f>BX266</f>
        <v>0</v>
      </c>
      <c r="BW266" s="181"/>
      <c r="BX266" s="181"/>
      <c r="BY266" s="181">
        <f>CA266</f>
        <v>0</v>
      </c>
      <c r="BZ266" s="189"/>
      <c r="CA266" s="189">
        <f>CD266-BX266</f>
        <v>0</v>
      </c>
      <c r="CB266" s="181">
        <f>CD266</f>
        <v>0</v>
      </c>
      <c r="CC266" s="181"/>
      <c r="CD266" s="181"/>
      <c r="CE266" s="181">
        <v>1</v>
      </c>
      <c r="CF266" s="105">
        <f t="shared" si="586"/>
        <v>0</v>
      </c>
      <c r="CG266" s="181"/>
      <c r="CH266" s="181" t="e">
        <f>CJ266</f>
        <v>#REF!</v>
      </c>
      <c r="CI266" s="181"/>
      <c r="CJ266" s="181" t="e">
        <f>'[5]2018-2019 _с лимит75и50'!DD150</f>
        <v>#REF!</v>
      </c>
      <c r="CK266" s="181" t="e">
        <f>CM266</f>
        <v>#REF!</v>
      </c>
      <c r="CL266" s="189"/>
      <c r="CM266" s="181" t="e">
        <f>CS266-CH266</f>
        <v>#REF!</v>
      </c>
      <c r="CN266" s="181">
        <f t="shared" si="589"/>
        <v>0</v>
      </c>
      <c r="CO266" s="181">
        <f t="shared" si="589"/>
        <v>0</v>
      </c>
      <c r="CP266" s="181">
        <f t="shared" si="589"/>
        <v>0</v>
      </c>
      <c r="CQ266" s="181" t="e">
        <f>#REF!</f>
        <v>#REF!</v>
      </c>
      <c r="CR266" s="181"/>
      <c r="CS266" s="181">
        <v>230000</v>
      </c>
      <c r="CT266" s="181">
        <f>CV266</f>
        <v>0</v>
      </c>
      <c r="CU266" s="181"/>
      <c r="CV266" s="181"/>
      <c r="CW266" s="181"/>
      <c r="CX266" s="181"/>
      <c r="CY266" s="181"/>
      <c r="CZ266" s="181"/>
      <c r="DA266" s="181"/>
      <c r="DB266" s="181"/>
      <c r="DC266" s="181"/>
      <c r="DD266" s="181"/>
      <c r="DE266" s="181"/>
      <c r="DF266" s="181"/>
      <c r="DG266" s="181"/>
      <c r="DH266" s="181"/>
      <c r="DI266" s="181"/>
      <c r="DJ266" s="181"/>
      <c r="DK266" s="181"/>
      <c r="DL266" s="181"/>
      <c r="DM266" s="181"/>
      <c r="DN266" s="181"/>
      <c r="DO266" s="181"/>
      <c r="DP266" s="181"/>
      <c r="DQ266" s="181"/>
      <c r="DR266" s="181"/>
      <c r="DS266" s="181"/>
      <c r="DT266" s="181">
        <f>DK266-DN266-DQ266</f>
        <v>0</v>
      </c>
      <c r="DU266" s="181"/>
      <c r="DV266" s="181"/>
      <c r="DW266" s="181"/>
      <c r="DX266" s="181"/>
      <c r="DY266" s="181"/>
      <c r="DZ266" s="181"/>
      <c r="EA266" s="181"/>
      <c r="EB266" s="181"/>
      <c r="EC266" s="181"/>
      <c r="ED266" s="181"/>
      <c r="EE266" s="181"/>
      <c r="EF266" s="181"/>
      <c r="EG266" s="181"/>
      <c r="EH266" s="181"/>
      <c r="EI266" s="181"/>
      <c r="EJ266" s="192">
        <f>DX266</f>
        <v>0</v>
      </c>
      <c r="EK266" s="181"/>
      <c r="EL266" s="181"/>
      <c r="EM266" s="181"/>
      <c r="EN266" s="192">
        <f>EV266-EJ266</f>
        <v>0</v>
      </c>
      <c r="EO266" s="181"/>
      <c r="EP266" s="181"/>
      <c r="EQ266" s="181"/>
      <c r="ER266" s="192">
        <f>EZ266-EN266</f>
        <v>0</v>
      </c>
      <c r="ES266" s="181">
        <f>ET266+EV266</f>
        <v>0</v>
      </c>
      <c r="ET266" s="181"/>
      <c r="EU266" s="181"/>
      <c r="EV266" s="192">
        <f>EJ266</f>
        <v>0</v>
      </c>
      <c r="EW266" s="181"/>
      <c r="EX266" s="181"/>
      <c r="EY266" s="181"/>
      <c r="EZ266" s="181"/>
      <c r="FA266" s="181"/>
      <c r="FB266" s="181"/>
      <c r="FC266" s="180"/>
      <c r="FD266" s="180"/>
      <c r="FE266" s="180"/>
      <c r="FF266" s="180"/>
      <c r="FG266" s="180"/>
      <c r="FH266" s="180"/>
      <c r="FI266" s="180"/>
      <c r="FJ266" s="180"/>
      <c r="FK266" s="180"/>
      <c r="FL266" s="180"/>
      <c r="FM266" s="180"/>
      <c r="FN266" s="201">
        <f>GX266-FJ266</f>
        <v>0</v>
      </c>
      <c r="FO266" s="180"/>
      <c r="FP266" s="180"/>
      <c r="FQ266" s="180"/>
      <c r="FR266" s="201">
        <f>FF266</f>
        <v>0</v>
      </c>
      <c r="FS266" s="201"/>
      <c r="FT266" s="574" t="e">
        <f t="shared" si="506"/>
        <v>#DIV/0!</v>
      </c>
      <c r="FU266" s="201"/>
      <c r="FV266" s="574" t="e">
        <f t="shared" si="507"/>
        <v>#DIV/0!</v>
      </c>
      <c r="FW266" s="192"/>
      <c r="FX266" s="192"/>
      <c r="FY266" s="181"/>
      <c r="FZ266" s="574" t="e">
        <f t="shared" si="590"/>
        <v>#DIV/0!</v>
      </c>
      <c r="GA266" s="201">
        <f>GG266</f>
        <v>0</v>
      </c>
      <c r="GB266" s="574" t="e">
        <f>GA266/FF266</f>
        <v>#DIV/0!</v>
      </c>
      <c r="GC266" s="201"/>
      <c r="GD266" s="582"/>
      <c r="GE266" s="201"/>
      <c r="GF266" s="192"/>
      <c r="GG266" s="201"/>
      <c r="GH266" s="574" t="e">
        <f>GG266/FF266</f>
        <v>#DIV/0!</v>
      </c>
      <c r="GI266" s="201"/>
      <c r="GJ266" s="582" t="e">
        <f t="shared" si="471"/>
        <v>#DIV/0!</v>
      </c>
      <c r="GK266" s="201"/>
      <c r="GL266" s="582" t="e">
        <f t="shared" si="472"/>
        <v>#DIV/0!</v>
      </c>
      <c r="GM266" s="201"/>
      <c r="GN266" s="582"/>
      <c r="GO266" s="201"/>
      <c r="GP266" s="582" t="e">
        <f t="shared" si="591"/>
        <v>#DIV/0!</v>
      </c>
      <c r="GQ266" s="192"/>
      <c r="GR266" s="192"/>
      <c r="GS266" s="192"/>
      <c r="GT266" s="192"/>
      <c r="GU266" s="181"/>
      <c r="GV266" s="181"/>
      <c r="GW266" s="181"/>
      <c r="GX266" s="181"/>
      <c r="GY266" s="181"/>
      <c r="GZ266" s="181"/>
      <c r="HA266" s="181"/>
      <c r="HB266" s="181"/>
      <c r="HC266" s="181"/>
      <c r="HD266" s="181"/>
      <c r="HE266" s="181"/>
      <c r="HF266" s="181"/>
      <c r="HG266" s="181"/>
      <c r="HH266" s="181"/>
      <c r="HI266" s="181"/>
      <c r="HJ266" s="181"/>
      <c r="HK266" s="181"/>
      <c r="HL266" s="181"/>
      <c r="HM266" s="181"/>
      <c r="HN266" s="181"/>
      <c r="HO266" s="181"/>
      <c r="HP266" s="181"/>
      <c r="HQ266" s="181"/>
      <c r="HR266" s="181"/>
      <c r="HS266" s="181"/>
      <c r="HT266" s="181"/>
      <c r="HU266" s="181"/>
      <c r="HV266" s="181"/>
      <c r="HW266" s="181"/>
      <c r="HX266" s="181"/>
      <c r="HY266" s="181"/>
      <c r="HZ266" s="181"/>
      <c r="IA266" s="181"/>
      <c r="IB266" s="181"/>
      <c r="IC266" s="181"/>
      <c r="ID266" s="181"/>
      <c r="IE266" s="285"/>
      <c r="IF266" s="277"/>
      <c r="IG266" s="277"/>
      <c r="IH266" s="277"/>
    </row>
    <row r="267" spans="2:249" s="283" customFormat="1" ht="106.5" customHeight="1" x14ac:dyDescent="0.3">
      <c r="B267" s="149" t="s">
        <v>97</v>
      </c>
      <c r="C267" s="107" t="s">
        <v>350</v>
      </c>
      <c r="D267" s="242" t="s">
        <v>351</v>
      </c>
      <c r="E267" s="192">
        <f>F267+G267</f>
        <v>198473.5</v>
      </c>
      <c r="F267" s="192"/>
      <c r="G267" s="192">
        <v>198473.5</v>
      </c>
      <c r="H267" s="192">
        <f>I267+J267</f>
        <v>0</v>
      </c>
      <c r="I267" s="192"/>
      <c r="J267" s="192">
        <f>M267-G267</f>
        <v>0</v>
      </c>
      <c r="K267" s="192">
        <f>L267+M267</f>
        <v>198473.5</v>
      </c>
      <c r="L267" s="192"/>
      <c r="M267" s="192">
        <v>198473.5</v>
      </c>
      <c r="N267" s="192">
        <f>O267+P267</f>
        <v>250000</v>
      </c>
      <c r="O267" s="192"/>
      <c r="P267" s="192">
        <f>S267-M267</f>
        <v>250000</v>
      </c>
      <c r="Q267" s="192">
        <f>R267+S267</f>
        <v>448473.5</v>
      </c>
      <c r="R267" s="192"/>
      <c r="S267" s="192">
        <f>198473.5+250000</f>
        <v>448473.5</v>
      </c>
      <c r="T267" s="192">
        <f>U267+V267</f>
        <v>96000</v>
      </c>
      <c r="U267" s="192"/>
      <c r="V267" s="192">
        <v>96000</v>
      </c>
      <c r="W267" s="192">
        <f t="shared" si="580"/>
        <v>65568.700000000012</v>
      </c>
      <c r="X267" s="192"/>
      <c r="Y267" s="192">
        <f>AB267-V267</f>
        <v>65568.700000000012</v>
      </c>
      <c r="Z267" s="192">
        <f>AA267+AB267</f>
        <v>161568.70000000001</v>
      </c>
      <c r="AA267" s="192"/>
      <c r="AB267" s="192">
        <v>161568.70000000001</v>
      </c>
      <c r="AC267" s="192">
        <f>AD267+AE267</f>
        <v>0</v>
      </c>
      <c r="AD267" s="192"/>
      <c r="AE267" s="192">
        <v>0</v>
      </c>
      <c r="AF267" s="192" t="e">
        <f>AG267+AH267</f>
        <v>#REF!</v>
      </c>
      <c r="AG267" s="192"/>
      <c r="AH267" s="192" t="e">
        <f>'[3]2017_с остатком на торги'!$AH$142</f>
        <v>#REF!</v>
      </c>
      <c r="AI267" s="192">
        <v>0</v>
      </c>
      <c r="AJ267" s="192">
        <v>0</v>
      </c>
      <c r="AK267" s="192">
        <f t="shared" si="582"/>
        <v>161568.70000000001</v>
      </c>
      <c r="AL267" s="192" t="e">
        <f>AF267-AJ267</f>
        <v>#REF!</v>
      </c>
      <c r="AM267" s="779"/>
      <c r="AN267" s="779"/>
      <c r="AO267" s="192">
        <v>1</v>
      </c>
      <c r="AP267" s="242"/>
      <c r="AQ267" s="242"/>
      <c r="AR267" s="192" t="e">
        <f>AF267-AP267-AQ267</f>
        <v>#REF!</v>
      </c>
      <c r="AS267" s="192">
        <f>AT267+AU267</f>
        <v>100000</v>
      </c>
      <c r="AT267" s="192"/>
      <c r="AU267" s="192">
        <f>'[5]2018-2019 _с лимит75и50'!BR151</f>
        <v>100000</v>
      </c>
      <c r="AV267" s="192">
        <f>AW267+AX267</f>
        <v>0</v>
      </c>
      <c r="AW267" s="192"/>
      <c r="AX267" s="192">
        <v>0</v>
      </c>
      <c r="AY267" s="192">
        <f>BA267</f>
        <v>100000</v>
      </c>
      <c r="AZ267" s="281"/>
      <c r="BA267" s="192">
        <f>AU267</f>
        <v>100000</v>
      </c>
      <c r="BB267" s="192">
        <f>BC267+BD267</f>
        <v>100000</v>
      </c>
      <c r="BC267" s="192"/>
      <c r="BD267" s="192">
        <v>100000</v>
      </c>
      <c r="BE267" s="192">
        <f>BF267+BG267</f>
        <v>79591.252999999997</v>
      </c>
      <c r="BF267" s="192"/>
      <c r="BG267" s="192">
        <f>BJ267-BA267</f>
        <v>79591.252999999997</v>
      </c>
      <c r="BH267" s="192">
        <f>BJ267</f>
        <v>179591.253</v>
      </c>
      <c r="BI267" s="281"/>
      <c r="BJ267" s="192">
        <v>179591.253</v>
      </c>
      <c r="BK267" s="192">
        <v>1</v>
      </c>
      <c r="BL267" s="153">
        <f t="shared" si="584"/>
        <v>100000</v>
      </c>
      <c r="BM267" s="153"/>
      <c r="BN267" s="153"/>
      <c r="BO267" s="153"/>
      <c r="BP267" s="153"/>
      <c r="BQ267" s="153"/>
      <c r="BR267" s="153"/>
      <c r="BS267" s="153">
        <f>BT267+BU267</f>
        <v>179591.253</v>
      </c>
      <c r="BT267" s="153"/>
      <c r="BU267" s="153">
        <f>BJ267</f>
        <v>179591.253</v>
      </c>
      <c r="BV267" s="192">
        <f>BW267+BX267</f>
        <v>100000</v>
      </c>
      <c r="BW267" s="192"/>
      <c r="BX267" s="192">
        <v>100000</v>
      </c>
      <c r="BY267" s="192">
        <f>BZ267+CA267</f>
        <v>-54591.252999999997</v>
      </c>
      <c r="BZ267" s="192"/>
      <c r="CA267" s="192">
        <f>CD267-BJ267</f>
        <v>-54591.252999999997</v>
      </c>
      <c r="CB267" s="192">
        <f>CC267+CD267</f>
        <v>125000</v>
      </c>
      <c r="CC267" s="192"/>
      <c r="CD267" s="192">
        <f>179591.253-54591.253</f>
        <v>125000</v>
      </c>
      <c r="CE267" s="192">
        <v>1</v>
      </c>
      <c r="CF267" s="153">
        <f t="shared" si="586"/>
        <v>100000</v>
      </c>
      <c r="CG267" s="192"/>
      <c r="CH267" s="192" t="e">
        <f>CI267+CJ267</f>
        <v>#REF!</v>
      </c>
      <c r="CI267" s="192"/>
      <c r="CJ267" s="192" t="e">
        <f>'[5]2018-2019 _с лимит75и50'!DD151</f>
        <v>#REF!</v>
      </c>
      <c r="CK267" s="192" t="e">
        <f>CL267+CM267</f>
        <v>#REF!</v>
      </c>
      <c r="CL267" s="192"/>
      <c r="CM267" s="192" t="e">
        <f>CS267-CH267</f>
        <v>#REF!</v>
      </c>
      <c r="CN267" s="192">
        <f>CN268+CN272</f>
        <v>0</v>
      </c>
      <c r="CO267" s="192">
        <f>CO268+CO272</f>
        <v>0</v>
      </c>
      <c r="CP267" s="192">
        <f>CP268+CP272</f>
        <v>0</v>
      </c>
      <c r="CQ267" s="192">
        <f>CS267</f>
        <v>258740.28</v>
      </c>
      <c r="CR267" s="192"/>
      <c r="CS267" s="192">
        <v>258740.28</v>
      </c>
      <c r="CT267" s="192">
        <f>CU267+CV267</f>
        <v>340071</v>
      </c>
      <c r="CU267" s="192"/>
      <c r="CV267" s="192">
        <f>50000+290071</f>
        <v>340071</v>
      </c>
      <c r="CW267" s="192">
        <f>CX267+CY267</f>
        <v>734852.10600000003</v>
      </c>
      <c r="CX267" s="192"/>
      <c r="CY267" s="192">
        <v>734852.10600000003</v>
      </c>
      <c r="CZ267" s="192">
        <f>DB267</f>
        <v>258740.28</v>
      </c>
      <c r="DA267" s="192"/>
      <c r="DB267" s="192">
        <v>258740.28</v>
      </c>
      <c r="DC267" s="192">
        <f>DD267+DE267</f>
        <v>380350</v>
      </c>
      <c r="DD267" s="192"/>
      <c r="DE267" s="192">
        <f>DW267-DB267</f>
        <v>380350</v>
      </c>
      <c r="DF267" s="192">
        <f>DG267+DH267</f>
        <v>0</v>
      </c>
      <c r="DG267" s="192"/>
      <c r="DH267" s="192">
        <f>DK267-CY267</f>
        <v>0</v>
      </c>
      <c r="DI267" s="192">
        <f>DK267</f>
        <v>734852.10600000003</v>
      </c>
      <c r="DJ267" s="192"/>
      <c r="DK267" s="192">
        <f>634852.106+100000</f>
        <v>734852.10600000003</v>
      </c>
      <c r="DL267" s="192">
        <f>DN267</f>
        <v>0</v>
      </c>
      <c r="DM267" s="192"/>
      <c r="DN267" s="192">
        <v>0</v>
      </c>
      <c r="DO267" s="192">
        <f>DQ267</f>
        <v>0</v>
      </c>
      <c r="DP267" s="192"/>
      <c r="DQ267" s="192">
        <v>0</v>
      </c>
      <c r="DR267" s="192">
        <f>DT267</f>
        <v>734852.10600000003</v>
      </c>
      <c r="DS267" s="192"/>
      <c r="DT267" s="192">
        <f>DK267-DN267-DQ267</f>
        <v>734852.10600000003</v>
      </c>
      <c r="DU267" s="192">
        <f>DV267+DW267</f>
        <v>639090.28</v>
      </c>
      <c r="DV267" s="192"/>
      <c r="DW267" s="192">
        <v>639090.28</v>
      </c>
      <c r="DX267" s="192">
        <f>DZ267</f>
        <v>44259.3</v>
      </c>
      <c r="DY267" s="192"/>
      <c r="DZ267" s="192">
        <v>44259.3</v>
      </c>
      <c r="EA267" s="192">
        <f>EB267+EC267</f>
        <v>443142</v>
      </c>
      <c r="EB267" s="192"/>
      <c r="EC267" s="192">
        <f>50000+393142</f>
        <v>443142</v>
      </c>
      <c r="ED267" s="192"/>
      <c r="EE267" s="192"/>
      <c r="EF267" s="192"/>
      <c r="EG267" s="192">
        <f>EJ267</f>
        <v>852734.6</v>
      </c>
      <c r="EH267" s="192"/>
      <c r="EI267" s="192"/>
      <c r="EJ267" s="192">
        <f>'[1]2021_2023'!$EJ$225</f>
        <v>852734.6</v>
      </c>
      <c r="EK267" s="192">
        <f>EL267+EN267</f>
        <v>0</v>
      </c>
      <c r="EL267" s="192"/>
      <c r="EM267" s="192"/>
      <c r="EN267" s="192">
        <v>0</v>
      </c>
      <c r="EO267" s="192">
        <f>EP267+ER267</f>
        <v>0</v>
      </c>
      <c r="EP267" s="192"/>
      <c r="EQ267" s="192"/>
      <c r="ER267" s="192">
        <f>EZ267-EN267</f>
        <v>0</v>
      </c>
      <c r="ES267" s="192">
        <f>ET267+EV267</f>
        <v>-107127.26874999993</v>
      </c>
      <c r="ET267" s="192"/>
      <c r="EU267" s="192"/>
      <c r="EV267" s="192">
        <f>FR267-EJ267</f>
        <v>-107127.26874999993</v>
      </c>
      <c r="EW267" s="192">
        <f>DX267+EA267</f>
        <v>487401.3</v>
      </c>
      <c r="EX267" s="192"/>
      <c r="EY267" s="192">
        <f>DZ267+EC267</f>
        <v>487401.3</v>
      </c>
      <c r="EZ267" s="192"/>
      <c r="FA267" s="192"/>
      <c r="FB267" s="192"/>
      <c r="FC267" s="201">
        <f>FF267</f>
        <v>756734.93125000002</v>
      </c>
      <c r="FD267" s="201"/>
      <c r="FE267" s="201"/>
      <c r="FF267" s="201">
        <v>756734.93125000002</v>
      </c>
      <c r="FG267" s="201">
        <f>FH267+FJ267</f>
        <v>-11127.599999999977</v>
      </c>
      <c r="FH267" s="201"/>
      <c r="FI267" s="201"/>
      <c r="FJ267" s="201">
        <f>FR267-FF267</f>
        <v>-11127.599999999977</v>
      </c>
      <c r="FK267" s="201">
        <f>FL267+FN267</f>
        <v>0</v>
      </c>
      <c r="FL267" s="201"/>
      <c r="FM267" s="201"/>
      <c r="FN267" s="201"/>
      <c r="FO267" s="201">
        <f>FR267</f>
        <v>745607.33125000005</v>
      </c>
      <c r="FP267" s="201"/>
      <c r="FQ267" s="201"/>
      <c r="FR267" s="201">
        <v>745607.33125000005</v>
      </c>
      <c r="FS267" s="201">
        <f>FY267</f>
        <v>203364.56901000001</v>
      </c>
      <c r="FT267" s="574">
        <f t="shared" si="506"/>
        <v>0.26873950258127455</v>
      </c>
      <c r="FU267" s="201"/>
      <c r="FV267" s="574">
        <v>0</v>
      </c>
      <c r="FW267" s="192"/>
      <c r="FX267" s="192"/>
      <c r="FY267" s="689">
        <f>GG267</f>
        <v>203364.56901000001</v>
      </c>
      <c r="FZ267" s="574">
        <f t="shared" si="590"/>
        <v>0.26873950258127455</v>
      </c>
      <c r="GA267" s="201">
        <f>GG267</f>
        <v>203364.56901000001</v>
      </c>
      <c r="GB267" s="574">
        <f>GA267/FF267</f>
        <v>0.26873950258127455</v>
      </c>
      <c r="GC267" s="201"/>
      <c r="GD267" s="582"/>
      <c r="GE267" s="201"/>
      <c r="GF267" s="201"/>
      <c r="GG267" s="201">
        <v>203364.56901000001</v>
      </c>
      <c r="GH267" s="574">
        <f>GG267/FF267</f>
        <v>0.26873950258127455</v>
      </c>
      <c r="GI267" s="201">
        <f>GO267</f>
        <v>754916.88974000001</v>
      </c>
      <c r="GJ267" s="582">
        <f t="shared" si="471"/>
        <v>0.99759751871504476</v>
      </c>
      <c r="GK267" s="201"/>
      <c r="GL267" s="582">
        <v>0</v>
      </c>
      <c r="GM267" s="201"/>
      <c r="GN267" s="582"/>
      <c r="GO267" s="201">
        <v>754916.88974000001</v>
      </c>
      <c r="GP267" s="582">
        <f t="shared" si="591"/>
        <v>0.99759751871504476</v>
      </c>
      <c r="GQ267" s="201"/>
      <c r="GR267" s="201"/>
      <c r="GS267" s="201"/>
      <c r="GT267" s="201"/>
      <c r="GU267" s="192">
        <f>GX267</f>
        <v>937972.3</v>
      </c>
      <c r="GV267" s="192"/>
      <c r="GW267" s="192"/>
      <c r="GX267" s="192">
        <f>'[1]2021_2023'!$FV$225</f>
        <v>937972.3</v>
      </c>
      <c r="GY267" s="192"/>
      <c r="GZ267" s="192"/>
      <c r="HA267" s="192"/>
      <c r="HB267" s="192"/>
      <c r="HC267" s="192"/>
      <c r="HD267" s="192"/>
      <c r="HE267" s="192"/>
      <c r="HF267" s="192"/>
      <c r="HG267" s="192">
        <v>0</v>
      </c>
      <c r="HH267" s="192"/>
      <c r="HI267" s="192"/>
      <c r="HJ267" s="192">
        <v>0</v>
      </c>
      <c r="HK267" s="192">
        <f>HN267</f>
        <v>0</v>
      </c>
      <c r="HL267" s="192"/>
      <c r="HM267" s="192"/>
      <c r="HN267" s="192">
        <f>HR267-GX267</f>
        <v>0</v>
      </c>
      <c r="HO267" s="192">
        <f>HR267</f>
        <v>937972.3</v>
      </c>
      <c r="HP267" s="192"/>
      <c r="HQ267" s="192"/>
      <c r="HR267" s="192">
        <f>GX267</f>
        <v>937972.3</v>
      </c>
      <c r="HS267" s="192">
        <f>HV267</f>
        <v>761787.16299999994</v>
      </c>
      <c r="HT267" s="192"/>
      <c r="HU267" s="192"/>
      <c r="HV267" s="201">
        <v>761787.16299999994</v>
      </c>
      <c r="HW267" s="243">
        <f>HZ267</f>
        <v>-59671.516709999996</v>
      </c>
      <c r="HX267" s="243"/>
      <c r="HY267" s="243"/>
      <c r="HZ267" s="287">
        <f>ID267-HV267</f>
        <v>-59671.516709999996</v>
      </c>
      <c r="IA267" s="243">
        <f>ID267</f>
        <v>702115.64628999995</v>
      </c>
      <c r="IB267" s="243"/>
      <c r="IC267" s="243"/>
      <c r="ID267" s="243">
        <f>HV267-59671.51671</f>
        <v>702115.64628999995</v>
      </c>
      <c r="IE267" s="196" t="s">
        <v>352</v>
      </c>
      <c r="IF267" s="282"/>
      <c r="IG267" s="282"/>
      <c r="IH267" s="282"/>
    </row>
    <row r="268" spans="2:249" s="130" customFormat="1" ht="33" hidden="1" customHeight="1" x14ac:dyDescent="0.25">
      <c r="B268" s="279" t="s">
        <v>110</v>
      </c>
      <c r="C268" s="174" t="s">
        <v>353</v>
      </c>
      <c r="D268" s="273"/>
      <c r="E268" s="164">
        <f>F268+G268</f>
        <v>0</v>
      </c>
      <c r="F268" s="164"/>
      <c r="G268" s="164"/>
      <c r="H268" s="164">
        <f>I268+J268</f>
        <v>0</v>
      </c>
      <c r="I268" s="259"/>
      <c r="J268" s="259">
        <f>M268-G268</f>
        <v>0</v>
      </c>
      <c r="K268" s="164">
        <f>L268+M268</f>
        <v>0</v>
      </c>
      <c r="L268" s="164"/>
      <c r="M268" s="164"/>
      <c r="N268" s="164">
        <f>O268+P268</f>
        <v>0</v>
      </c>
      <c r="O268" s="259"/>
      <c r="P268" s="259">
        <f>S268-M268</f>
        <v>0</v>
      </c>
      <c r="Q268" s="164">
        <f>R268+S268</f>
        <v>0</v>
      </c>
      <c r="R268" s="164"/>
      <c r="S268" s="164"/>
      <c r="T268" s="164">
        <f>U268+V268</f>
        <v>0</v>
      </c>
      <c r="U268" s="164"/>
      <c r="V268" s="164"/>
      <c r="W268" s="164">
        <f t="shared" si="580"/>
        <v>0</v>
      </c>
      <c r="X268" s="259"/>
      <c r="Y268" s="259">
        <f>AB268-V268</f>
        <v>0</v>
      </c>
      <c r="Z268" s="164">
        <f>AA268+AB268</f>
        <v>0</v>
      </c>
      <c r="AA268" s="164"/>
      <c r="AB268" s="164"/>
      <c r="AC268" s="164">
        <f>AD268+AE268</f>
        <v>0</v>
      </c>
      <c r="AD268" s="164"/>
      <c r="AE268" s="164"/>
      <c r="AF268" s="164">
        <f>AG268+AH268</f>
        <v>0</v>
      </c>
      <c r="AG268" s="164"/>
      <c r="AH268" s="164"/>
      <c r="AI268" s="164"/>
      <c r="AJ268" s="181">
        <v>0</v>
      </c>
      <c r="AK268" s="181">
        <f t="shared" si="582"/>
        <v>0</v>
      </c>
      <c r="AL268" s="181">
        <f>AA268-AK268</f>
        <v>0</v>
      </c>
      <c r="AM268" s="164"/>
      <c r="AN268" s="164"/>
      <c r="AO268" s="181">
        <v>1</v>
      </c>
      <c r="AP268" s="164"/>
      <c r="AQ268" s="164"/>
      <c r="AR268" s="164"/>
      <c r="AS268" s="164">
        <f>AT268+AU268</f>
        <v>0</v>
      </c>
      <c r="AT268" s="164"/>
      <c r="AU268" s="164"/>
      <c r="AV268" s="164">
        <f>AW268+AX268</f>
        <v>0</v>
      </c>
      <c r="AW268" s="259"/>
      <c r="AX268" s="259">
        <f>BA268-AU268</f>
        <v>0</v>
      </c>
      <c r="AY268" s="164">
        <f>AZ268+BA268</f>
        <v>0</v>
      </c>
      <c r="AZ268" s="164"/>
      <c r="BA268" s="164"/>
      <c r="BB268" s="164">
        <f>BC268+BD268</f>
        <v>0</v>
      </c>
      <c r="BC268" s="164"/>
      <c r="BD268" s="164"/>
      <c r="BE268" s="164">
        <f>BF268+BG268</f>
        <v>0</v>
      </c>
      <c r="BF268" s="259"/>
      <c r="BG268" s="259">
        <f>BX268-BD268</f>
        <v>0</v>
      </c>
      <c r="BH268" s="164">
        <f>BI268+BJ268</f>
        <v>0</v>
      </c>
      <c r="BI268" s="164"/>
      <c r="BJ268" s="164"/>
      <c r="BK268" s="181">
        <v>1</v>
      </c>
      <c r="BL268" s="105">
        <f t="shared" si="584"/>
        <v>0</v>
      </c>
      <c r="BM268" s="105"/>
      <c r="BN268" s="105"/>
      <c r="BO268" s="105"/>
      <c r="BP268" s="105"/>
      <c r="BQ268" s="105"/>
      <c r="BR268" s="105"/>
      <c r="BS268" s="105"/>
      <c r="BT268" s="105"/>
      <c r="BU268" s="105"/>
      <c r="BV268" s="164">
        <f>BW268+BX268</f>
        <v>0</v>
      </c>
      <c r="BW268" s="164"/>
      <c r="BX268" s="164"/>
      <c r="BY268" s="164">
        <f>BZ268+CA268</f>
        <v>0</v>
      </c>
      <c r="BZ268" s="259"/>
      <c r="CA268" s="259">
        <f>CD268-BX268</f>
        <v>0</v>
      </c>
      <c r="CB268" s="164">
        <f>CC268+CD268</f>
        <v>0</v>
      </c>
      <c r="CC268" s="164"/>
      <c r="CD268" s="164"/>
      <c r="CE268" s="181">
        <v>1</v>
      </c>
      <c r="CF268" s="105">
        <f t="shared" si="586"/>
        <v>0</v>
      </c>
      <c r="CG268" s="164"/>
      <c r="CH268" s="164">
        <f>CI268+CJ268</f>
        <v>0</v>
      </c>
      <c r="CI268" s="164"/>
      <c r="CJ268" s="164"/>
      <c r="CK268" s="164">
        <f>CL268+CM268</f>
        <v>0</v>
      </c>
      <c r="CL268" s="259"/>
      <c r="CM268" s="259">
        <f>CS268-CJ268</f>
        <v>0</v>
      </c>
      <c r="CN268" s="259"/>
      <c r="CO268" s="259"/>
      <c r="CP268" s="259"/>
      <c r="CQ268" s="164">
        <f>CR268+CS268</f>
        <v>0</v>
      </c>
      <c r="CR268" s="164"/>
      <c r="CS268" s="164"/>
      <c r="CT268" s="164">
        <f>CU268+CV268</f>
        <v>0</v>
      </c>
      <c r="CU268" s="164"/>
      <c r="CV268" s="164"/>
      <c r="CW268" s="164"/>
      <c r="CX268" s="164"/>
      <c r="CY268" s="164"/>
      <c r="CZ268" s="164">
        <f>DA268+DB268</f>
        <v>0</v>
      </c>
      <c r="DA268" s="164"/>
      <c r="DB268" s="164"/>
      <c r="DC268" s="164"/>
      <c r="DD268" s="164"/>
      <c r="DE268" s="164"/>
      <c r="DF268" s="164"/>
      <c r="DG268" s="164"/>
      <c r="DH268" s="164"/>
      <c r="DI268" s="164"/>
      <c r="DJ268" s="164"/>
      <c r="DK268" s="164"/>
      <c r="DL268" s="164"/>
      <c r="DM268" s="164"/>
      <c r="DN268" s="164"/>
      <c r="DO268" s="164"/>
      <c r="DP268" s="164"/>
      <c r="DQ268" s="164"/>
      <c r="DR268" s="164"/>
      <c r="DS268" s="164"/>
      <c r="DT268" s="164"/>
      <c r="DU268" s="164">
        <f>DV268+DW268</f>
        <v>0</v>
      </c>
      <c r="DV268" s="164"/>
      <c r="DW268" s="164"/>
      <c r="DX268" s="164">
        <f>DY268+DZ268</f>
        <v>0</v>
      </c>
      <c r="DY268" s="164"/>
      <c r="DZ268" s="164"/>
      <c r="EA268" s="164"/>
      <c r="EB268" s="164"/>
      <c r="EC268" s="164"/>
      <c r="ED268" s="164"/>
      <c r="EE268" s="164"/>
      <c r="EF268" s="164"/>
      <c r="EG268" s="164"/>
      <c r="EH268" s="164"/>
      <c r="EI268" s="164"/>
      <c r="EJ268" s="164"/>
      <c r="EK268" s="164"/>
      <c r="EL268" s="164"/>
      <c r="EM268" s="164"/>
      <c r="EN268" s="164"/>
      <c r="EO268" s="164"/>
      <c r="EP268" s="164"/>
      <c r="EQ268" s="164"/>
      <c r="ER268" s="164"/>
      <c r="ES268" s="163"/>
      <c r="ET268" s="164"/>
      <c r="EU268" s="164"/>
      <c r="EV268" s="192">
        <f>EJ268</f>
        <v>0</v>
      </c>
      <c r="EW268" s="164"/>
      <c r="EX268" s="164"/>
      <c r="EY268" s="164"/>
      <c r="EZ268" s="164"/>
      <c r="FA268" s="164"/>
      <c r="FB268" s="164"/>
      <c r="FC268" s="163"/>
      <c r="FD268" s="163"/>
      <c r="FE268" s="163"/>
      <c r="FF268" s="163"/>
      <c r="FG268" s="163"/>
      <c r="FH268" s="163"/>
      <c r="FI268" s="163"/>
      <c r="FJ268" s="163"/>
      <c r="FK268" s="163"/>
      <c r="FL268" s="163"/>
      <c r="FM268" s="163"/>
      <c r="FN268" s="163"/>
      <c r="FO268" s="163"/>
      <c r="FP268" s="163"/>
      <c r="FQ268" s="163"/>
      <c r="FR268" s="163"/>
      <c r="FS268" s="163"/>
      <c r="FT268" s="583" t="e">
        <f t="shared" si="506"/>
        <v>#DIV/0!</v>
      </c>
      <c r="FU268" s="163"/>
      <c r="FV268" s="583" t="e">
        <f t="shared" si="507"/>
        <v>#DIV/0!</v>
      </c>
      <c r="FW268" s="164"/>
      <c r="FX268" s="164"/>
      <c r="FY268" s="164"/>
      <c r="FZ268" s="583" t="e">
        <f t="shared" si="590"/>
        <v>#DIV/0!</v>
      </c>
      <c r="GA268" s="163"/>
      <c r="GB268" s="583"/>
      <c r="GC268" s="163"/>
      <c r="GD268" s="583"/>
      <c r="GE268" s="163"/>
      <c r="GF268" s="164"/>
      <c r="GG268" s="164"/>
      <c r="GH268" s="164"/>
      <c r="GI268" s="163"/>
      <c r="GJ268" s="583" t="e">
        <f t="shared" si="471"/>
        <v>#DIV/0!</v>
      </c>
      <c r="GK268" s="163"/>
      <c r="GL268" s="583" t="e">
        <f t="shared" si="472"/>
        <v>#DIV/0!</v>
      </c>
      <c r="GM268" s="163"/>
      <c r="GN268" s="583"/>
      <c r="GO268" s="163"/>
      <c r="GP268" s="583"/>
      <c r="GQ268" s="164"/>
      <c r="GR268" s="164"/>
      <c r="GS268" s="164"/>
      <c r="GT268" s="164"/>
      <c r="GU268" s="164"/>
      <c r="GV268" s="164"/>
      <c r="GW268" s="164"/>
      <c r="GX268" s="164"/>
      <c r="GY268" s="164"/>
      <c r="GZ268" s="164"/>
      <c r="HA268" s="164"/>
      <c r="HB268" s="164"/>
      <c r="HC268" s="164"/>
      <c r="HD268" s="164"/>
      <c r="HE268" s="164"/>
      <c r="HF268" s="164"/>
      <c r="HG268" s="164"/>
      <c r="HH268" s="164"/>
      <c r="HI268" s="164"/>
      <c r="HJ268" s="164"/>
      <c r="HK268" s="164"/>
      <c r="HL268" s="164"/>
      <c r="HM268" s="164"/>
      <c r="HN268" s="164"/>
      <c r="HO268" s="164"/>
      <c r="HP268" s="164"/>
      <c r="HQ268" s="164"/>
      <c r="HR268" s="164"/>
      <c r="HS268" s="164"/>
      <c r="HT268" s="164"/>
      <c r="HU268" s="164"/>
      <c r="HV268" s="164"/>
      <c r="HW268" s="164"/>
      <c r="HX268" s="164"/>
      <c r="HY268" s="164"/>
      <c r="HZ268" s="164"/>
      <c r="IA268" s="164"/>
      <c r="IB268" s="164"/>
      <c r="IC268" s="164"/>
      <c r="ID268" s="164"/>
      <c r="IE268" s="285"/>
      <c r="IF268" s="170"/>
      <c r="IG268" s="170"/>
      <c r="IH268" s="170"/>
      <c r="II268" s="129"/>
      <c r="IJ268" s="129"/>
      <c r="IK268" s="129"/>
      <c r="IL268" s="129"/>
      <c r="IM268" s="129"/>
      <c r="IN268" s="129"/>
      <c r="IO268" s="129"/>
    </row>
    <row r="269" spans="2:249" s="288" customFormat="1" ht="133.5" customHeight="1" x14ac:dyDescent="0.25">
      <c r="B269" s="131" t="s">
        <v>88</v>
      </c>
      <c r="C269" s="260" t="s">
        <v>354</v>
      </c>
      <c r="D269" s="260" t="s">
        <v>355</v>
      </c>
      <c r="E269" s="136">
        <f>F269+G269</f>
        <v>311983.908</v>
      </c>
      <c r="F269" s="136">
        <f>SUM(F270:F276)</f>
        <v>311983.908</v>
      </c>
      <c r="G269" s="136">
        <f>SUM(G270:G276)</f>
        <v>0</v>
      </c>
      <c r="H269" s="136">
        <f>I269+J269</f>
        <v>0</v>
      </c>
      <c r="I269" s="136">
        <f>SUM(I270:I276)</f>
        <v>0</v>
      </c>
      <c r="J269" s="136">
        <f>SUM(J270:J276)</f>
        <v>0</v>
      </c>
      <c r="K269" s="136">
        <f>L269+M269</f>
        <v>311983.908</v>
      </c>
      <c r="L269" s="136">
        <f>SUM(L270:L276)</f>
        <v>311983.908</v>
      </c>
      <c r="M269" s="136">
        <f>SUM(M270:M276)</f>
        <v>0</v>
      </c>
      <c r="N269" s="136">
        <f>O269+P269</f>
        <v>-94000</v>
      </c>
      <c r="O269" s="136">
        <f>SUM(O270:O276)</f>
        <v>-94000</v>
      </c>
      <c r="P269" s="136">
        <f>SUM(P270:P276)</f>
        <v>0</v>
      </c>
      <c r="Q269" s="136">
        <f>R269+S269</f>
        <v>217983.908</v>
      </c>
      <c r="R269" s="136">
        <f>SUM(R270:R276)</f>
        <v>217983.908</v>
      </c>
      <c r="S269" s="136">
        <f>SUM(S270:S276)</f>
        <v>0</v>
      </c>
      <c r="T269" s="136">
        <f>U269+V269</f>
        <v>286417.522</v>
      </c>
      <c r="U269" s="136">
        <f>SUM(U270:U276)</f>
        <v>211417.522</v>
      </c>
      <c r="V269" s="136">
        <f>SUM(V270:V276)</f>
        <v>75000</v>
      </c>
      <c r="W269" s="136">
        <f t="shared" si="580"/>
        <v>14561.682860000001</v>
      </c>
      <c r="X269" s="136">
        <f>SUM(X270:X276)</f>
        <v>89561.682860000001</v>
      </c>
      <c r="Y269" s="136">
        <f>SUM(Y270:Y276)</f>
        <v>-75000</v>
      </c>
      <c r="Z269" s="136">
        <f t="shared" ref="Z269:AN269" si="592">Z270+Z272+Z276</f>
        <v>300979.20486</v>
      </c>
      <c r="AA269" s="136">
        <f t="shared" si="592"/>
        <v>300979.20486</v>
      </c>
      <c r="AB269" s="136">
        <f t="shared" si="592"/>
        <v>0</v>
      </c>
      <c r="AC269" s="136">
        <f t="shared" si="592"/>
        <v>0</v>
      </c>
      <c r="AD269" s="136">
        <f t="shared" si="592"/>
        <v>0</v>
      </c>
      <c r="AE269" s="136">
        <f t="shared" si="592"/>
        <v>0</v>
      </c>
      <c r="AF269" s="136">
        <f t="shared" si="592"/>
        <v>300979.20486</v>
      </c>
      <c r="AG269" s="136">
        <f t="shared" si="592"/>
        <v>300979.20486</v>
      </c>
      <c r="AH269" s="136">
        <f t="shared" si="592"/>
        <v>0</v>
      </c>
      <c r="AI269" s="136">
        <f t="shared" si="592"/>
        <v>0</v>
      </c>
      <c r="AJ269" s="136">
        <f t="shared" si="592"/>
        <v>84561.682860000001</v>
      </c>
      <c r="AK269" s="136">
        <f t="shared" si="592"/>
        <v>216417.522</v>
      </c>
      <c r="AL269" s="136">
        <f t="shared" si="592"/>
        <v>216417.522</v>
      </c>
      <c r="AM269" s="136" t="e">
        <f t="shared" si="592"/>
        <v>#VALUE!</v>
      </c>
      <c r="AN269" s="136" t="e">
        <f t="shared" si="592"/>
        <v>#VALUE!</v>
      </c>
      <c r="AO269" s="264">
        <v>1</v>
      </c>
      <c r="AP269" s="136">
        <f t="shared" ref="AP269:BJ269" si="593">AP270+AP272+AP276</f>
        <v>88645.718429999994</v>
      </c>
      <c r="AQ269" s="136">
        <f t="shared" si="593"/>
        <v>0</v>
      </c>
      <c r="AR269" s="136">
        <f t="shared" si="593"/>
        <v>212333.48642999999</v>
      </c>
      <c r="AS269" s="136">
        <f t="shared" si="593"/>
        <v>243423.42800000001</v>
      </c>
      <c r="AT269" s="136">
        <f t="shared" si="593"/>
        <v>243423.42800000001</v>
      </c>
      <c r="AU269" s="136">
        <f t="shared" si="593"/>
        <v>0</v>
      </c>
      <c r="AV269" s="136">
        <f t="shared" si="593"/>
        <v>-50000</v>
      </c>
      <c r="AW269" s="136">
        <f t="shared" si="593"/>
        <v>-50000</v>
      </c>
      <c r="AX269" s="136">
        <f t="shared" si="593"/>
        <v>0</v>
      </c>
      <c r="AY269" s="136">
        <f t="shared" si="593"/>
        <v>193423.42800000001</v>
      </c>
      <c r="AZ269" s="136">
        <f t="shared" si="593"/>
        <v>193423.42800000001</v>
      </c>
      <c r="BA269" s="136">
        <f t="shared" si="593"/>
        <v>0</v>
      </c>
      <c r="BB269" s="136">
        <f t="shared" si="593"/>
        <v>250320.552</v>
      </c>
      <c r="BC269" s="136">
        <f t="shared" si="593"/>
        <v>250320.552</v>
      </c>
      <c r="BD269" s="136">
        <f t="shared" si="593"/>
        <v>0</v>
      </c>
      <c r="BE269" s="136">
        <f t="shared" si="593"/>
        <v>16200.594999999987</v>
      </c>
      <c r="BF269" s="136">
        <f t="shared" si="593"/>
        <v>16200.594999999987</v>
      </c>
      <c r="BG269" s="136">
        <f t="shared" si="593"/>
        <v>0</v>
      </c>
      <c r="BH269" s="136">
        <f t="shared" si="593"/>
        <v>209624.02299999999</v>
      </c>
      <c r="BI269" s="136">
        <f t="shared" si="593"/>
        <v>209624.02299999999</v>
      </c>
      <c r="BJ269" s="136">
        <f t="shared" si="593"/>
        <v>0</v>
      </c>
      <c r="BK269" s="264">
        <v>1</v>
      </c>
      <c r="BL269" s="136">
        <f t="shared" si="584"/>
        <v>193423.42800000001</v>
      </c>
      <c r="BM269" s="136">
        <f t="shared" ref="BM269:CD269" si="594">BM270+BM272+BM276</f>
        <v>0</v>
      </c>
      <c r="BN269" s="136">
        <f t="shared" si="594"/>
        <v>0</v>
      </c>
      <c r="BO269" s="136">
        <f t="shared" si="594"/>
        <v>0</v>
      </c>
      <c r="BP269" s="136">
        <f t="shared" si="594"/>
        <v>0</v>
      </c>
      <c r="BQ269" s="136">
        <f t="shared" si="594"/>
        <v>0</v>
      </c>
      <c r="BR269" s="136">
        <f t="shared" si="594"/>
        <v>0</v>
      </c>
      <c r="BS269" s="136">
        <f t="shared" si="594"/>
        <v>209624.02299999999</v>
      </c>
      <c r="BT269" s="136">
        <f t="shared" si="594"/>
        <v>209624.02299999999</v>
      </c>
      <c r="BU269" s="136">
        <f t="shared" si="594"/>
        <v>0</v>
      </c>
      <c r="BV269" s="136">
        <f t="shared" si="594"/>
        <v>243423.42800000001</v>
      </c>
      <c r="BW269" s="136">
        <f t="shared" si="594"/>
        <v>243423.42800000001</v>
      </c>
      <c r="BX269" s="136">
        <f t="shared" si="594"/>
        <v>0</v>
      </c>
      <c r="BY269" s="136">
        <f t="shared" si="594"/>
        <v>-41000</v>
      </c>
      <c r="BZ269" s="136">
        <f t="shared" si="594"/>
        <v>-41000</v>
      </c>
      <c r="CA269" s="136">
        <f t="shared" si="594"/>
        <v>0</v>
      </c>
      <c r="CB269" s="136">
        <f t="shared" si="594"/>
        <v>168624.02299999999</v>
      </c>
      <c r="CC269" s="136">
        <f t="shared" si="594"/>
        <v>168624.02299999999</v>
      </c>
      <c r="CD269" s="136">
        <f t="shared" si="594"/>
        <v>0</v>
      </c>
      <c r="CE269" s="264">
        <v>1</v>
      </c>
      <c r="CF269" s="136">
        <f t="shared" si="586"/>
        <v>243423.42800000001</v>
      </c>
      <c r="CG269" s="136"/>
      <c r="CH269" s="136">
        <f t="shared" ref="CH269:CV269" si="595">CH270+CH272+CH276</f>
        <v>255594.6</v>
      </c>
      <c r="CI269" s="136">
        <f t="shared" si="595"/>
        <v>255594.6</v>
      </c>
      <c r="CJ269" s="136">
        <f t="shared" si="595"/>
        <v>0</v>
      </c>
      <c r="CK269" s="136">
        <f t="shared" si="595"/>
        <v>-18000.000000000015</v>
      </c>
      <c r="CL269" s="136">
        <f t="shared" si="595"/>
        <v>-18000.000000000015</v>
      </c>
      <c r="CM269" s="136">
        <f t="shared" si="595"/>
        <v>0</v>
      </c>
      <c r="CN269" s="136">
        <f t="shared" si="595"/>
        <v>0</v>
      </c>
      <c r="CO269" s="136">
        <f t="shared" si="595"/>
        <v>0</v>
      </c>
      <c r="CP269" s="136">
        <f t="shared" si="595"/>
        <v>0</v>
      </c>
      <c r="CQ269" s="136">
        <f t="shared" si="595"/>
        <v>237594.59999999998</v>
      </c>
      <c r="CR269" s="136">
        <f t="shared" si="595"/>
        <v>237594.59999999998</v>
      </c>
      <c r="CS269" s="136">
        <f t="shared" si="595"/>
        <v>0</v>
      </c>
      <c r="CT269" s="136">
        <f t="shared" si="595"/>
        <v>0</v>
      </c>
      <c r="CU269" s="136">
        <f t="shared" si="595"/>
        <v>0</v>
      </c>
      <c r="CV269" s="136">
        <f t="shared" si="595"/>
        <v>0</v>
      </c>
      <c r="CW269" s="136" t="e">
        <f t="shared" ref="CW269:CW278" si="596">CX269+CY269</f>
        <v>#REF!</v>
      </c>
      <c r="CX269" s="136" t="e">
        <f>CX270+#REF!+CX272+CX274+CX276</f>
        <v>#REF!</v>
      </c>
      <c r="CY269" s="136" t="e">
        <f>CY270+#REF!+CY272+CY274+CY276</f>
        <v>#REF!</v>
      </c>
      <c r="CZ269" s="136">
        <f>CZ270+CZ272+CZ276</f>
        <v>188208.984</v>
      </c>
      <c r="DA269" s="136">
        <f>DA270+DA272+DA276</f>
        <v>188208.984</v>
      </c>
      <c r="DB269" s="136">
        <f>DB270+DB272+DB276</f>
        <v>0</v>
      </c>
      <c r="DC269" s="136"/>
      <c r="DD269" s="136"/>
      <c r="DE269" s="136"/>
      <c r="DF269" s="136" t="e">
        <f t="shared" ref="DF269:DF278" si="597">DG269+DH269</f>
        <v>#REF!</v>
      </c>
      <c r="DG269" s="136" t="e">
        <f>DG270+#REF!+DG272+DG274+DG276</f>
        <v>#REF!</v>
      </c>
      <c r="DH269" s="136" t="e">
        <f>DH270+#REF!+DH272+DH274+DH276</f>
        <v>#REF!</v>
      </c>
      <c r="DI269" s="136" t="e">
        <f t="shared" ref="DI269:DI276" si="598">DJ269+DK269</f>
        <v>#REF!</v>
      </c>
      <c r="DJ269" s="136" t="e">
        <f>DJ270+#REF!+DJ272+DJ274+DJ276</f>
        <v>#REF!</v>
      </c>
      <c r="DK269" s="136" t="e">
        <f>DK270+#REF!+DK272+DK274+DK276</f>
        <v>#REF!</v>
      </c>
      <c r="DL269" s="136">
        <f>DL270+DL272+DL276</f>
        <v>20661.699209999999</v>
      </c>
      <c r="DM269" s="136">
        <f>DM270+DM272+DM276</f>
        <v>20661.699209999999</v>
      </c>
      <c r="DN269" s="136"/>
      <c r="DO269" s="136">
        <f>DO270+DO272+DO276</f>
        <v>0</v>
      </c>
      <c r="DP269" s="136">
        <f>DP270+DP272+DP276</f>
        <v>0</v>
      </c>
      <c r="DQ269" s="136"/>
      <c r="DR269" s="136">
        <f>DS269+DT269</f>
        <v>786150.71899999992</v>
      </c>
      <c r="DS269" s="136">
        <f>DS270+DS272+DS276+DS274</f>
        <v>640817.42299999995</v>
      </c>
      <c r="DT269" s="136">
        <f>DT270+DT272+DT276+DT274</f>
        <v>145333.296</v>
      </c>
      <c r="DU269" s="136" t="e">
        <f>DV269+DW269</f>
        <v>#REF!</v>
      </c>
      <c r="DV269" s="136" t="e">
        <f>DV270+#REF!+DV272+DV274+DV276</f>
        <v>#REF!</v>
      </c>
      <c r="DW269" s="136" t="e">
        <f>DW270+#REF!+DW272+DW274+DW276</f>
        <v>#REF!</v>
      </c>
      <c r="DX269" s="136">
        <f>DX270+DX272+DX276</f>
        <v>168124.3</v>
      </c>
      <c r="DY269" s="136">
        <f>DY270+DY272+DY276</f>
        <v>168124.3</v>
      </c>
      <c r="DZ269" s="136">
        <f>DZ270+DZ272+DZ276</f>
        <v>0</v>
      </c>
      <c r="EA269" s="136"/>
      <c r="EB269" s="136"/>
      <c r="EC269" s="136"/>
      <c r="ED269" s="136" t="e">
        <f>EE269+EF269</f>
        <v>#REF!</v>
      </c>
      <c r="EE269" s="136" t="e">
        <f>EE270+#REF!+EE272+EE274+EE276</f>
        <v>#REF!</v>
      </c>
      <c r="EF269" s="136" t="e">
        <f>EF270+#REF!+EF272+EF274+EF276</f>
        <v>#REF!</v>
      </c>
      <c r="EG269" s="136">
        <f t="shared" ref="EG269:EN269" si="599">SUM(EG270:EG276)</f>
        <v>826091.12342000008</v>
      </c>
      <c r="EH269" s="136">
        <f t="shared" si="599"/>
        <v>644896.06324000005</v>
      </c>
      <c r="EI269" s="136">
        <f t="shared" si="599"/>
        <v>34587.546999999999</v>
      </c>
      <c r="EJ269" s="136">
        <f t="shared" si="599"/>
        <v>146607.51318000001</v>
      </c>
      <c r="EK269" s="136">
        <f t="shared" si="599"/>
        <v>-715200.78592000005</v>
      </c>
      <c r="EL269" s="136">
        <f t="shared" si="599"/>
        <v>-634005.72574000002</v>
      </c>
      <c r="EM269" s="136">
        <f t="shared" si="599"/>
        <v>-34587.546999999999</v>
      </c>
      <c r="EN269" s="136">
        <f t="shared" si="599"/>
        <v>-46607.513180000009</v>
      </c>
      <c r="EO269" s="136">
        <f>EP269+EQ269+ER269</f>
        <v>10000</v>
      </c>
      <c r="EP269" s="136">
        <f>EP270+EP272+EP276</f>
        <v>10000</v>
      </c>
      <c r="EQ269" s="136"/>
      <c r="ER269" s="136"/>
      <c r="ES269" s="136">
        <f t="shared" ref="ES269:ES276" si="600">ET269+EU269+EV269</f>
        <v>101890.33750000002</v>
      </c>
      <c r="ET269" s="136">
        <f t="shared" ref="ET269:ID269" si="601">SUM(ET270:ET276)</f>
        <v>1890.3375000000233</v>
      </c>
      <c r="EU269" s="136">
        <f t="shared" si="601"/>
        <v>0</v>
      </c>
      <c r="EV269" s="136">
        <f t="shared" si="601"/>
        <v>100000</v>
      </c>
      <c r="EW269" s="136">
        <f t="shared" si="601"/>
        <v>168124.3</v>
      </c>
      <c r="EX269" s="136">
        <f t="shared" si="601"/>
        <v>158124.29999999999</v>
      </c>
      <c r="EY269" s="136">
        <f t="shared" si="601"/>
        <v>10000</v>
      </c>
      <c r="EZ269" s="136">
        <f t="shared" si="601"/>
        <v>260607.51318000001</v>
      </c>
      <c r="FA269" s="136">
        <f t="shared" si="601"/>
        <v>0</v>
      </c>
      <c r="FB269" s="136">
        <f t="shared" si="601"/>
        <v>260607.51318000001</v>
      </c>
      <c r="FC269" s="134">
        <f t="shared" si="601"/>
        <v>999466.24201000005</v>
      </c>
      <c r="FD269" s="134">
        <f t="shared" si="601"/>
        <v>694271.18183000002</v>
      </c>
      <c r="FE269" s="134">
        <f t="shared" si="601"/>
        <v>34587.546999999999</v>
      </c>
      <c r="FF269" s="134">
        <f t="shared" si="601"/>
        <v>270607.51318000001</v>
      </c>
      <c r="FG269" s="134">
        <f t="shared" si="601"/>
        <v>-24000</v>
      </c>
      <c r="FH269" s="134">
        <f t="shared" si="601"/>
        <v>0</v>
      </c>
      <c r="FI269" s="134">
        <f t="shared" si="601"/>
        <v>0</v>
      </c>
      <c r="FJ269" s="134">
        <f t="shared" si="601"/>
        <v>-24000</v>
      </c>
      <c r="FK269" s="134">
        <f t="shared" si="601"/>
        <v>0</v>
      </c>
      <c r="FL269" s="134">
        <f t="shared" si="601"/>
        <v>0</v>
      </c>
      <c r="FM269" s="134">
        <f t="shared" si="601"/>
        <v>0</v>
      </c>
      <c r="FN269" s="134">
        <f t="shared" si="601"/>
        <v>0</v>
      </c>
      <c r="FO269" s="134">
        <f t="shared" si="601"/>
        <v>975466.24201000005</v>
      </c>
      <c r="FP269" s="134">
        <f t="shared" si="601"/>
        <v>694271.18183000002</v>
      </c>
      <c r="FQ269" s="134">
        <f t="shared" si="601"/>
        <v>34587.546999999999</v>
      </c>
      <c r="FR269" s="134">
        <f t="shared" si="601"/>
        <v>246607.51318000001</v>
      </c>
      <c r="FS269" s="134">
        <f>FU269+FW269+FY269</f>
        <v>673529.66077000007</v>
      </c>
      <c r="FT269" s="578">
        <f t="shared" si="506"/>
        <v>0.6738893545973923</v>
      </c>
      <c r="FU269" s="134">
        <f t="shared" si="601"/>
        <v>444544.34215000004</v>
      </c>
      <c r="FV269" s="578">
        <f t="shared" si="507"/>
        <v>0.64030360727092894</v>
      </c>
      <c r="FW269" s="134">
        <f>FW270</f>
        <v>20089.679530000001</v>
      </c>
      <c r="FX269" s="578">
        <f>FW269/FE269</f>
        <v>0.58083562647562148</v>
      </c>
      <c r="FY269" s="134">
        <f>SUM(FY270:FY276)</f>
        <v>208895.63909000001</v>
      </c>
      <c r="FZ269" s="578">
        <f t="shared" si="590"/>
        <v>0.77195062559496963</v>
      </c>
      <c r="GA269" s="134">
        <f>GC269+GE269+GG269</f>
        <v>658963.27349000005</v>
      </c>
      <c r="GB269" s="578">
        <f>GA269/FC269</f>
        <v>0.6593151882396513</v>
      </c>
      <c r="GC269" s="134">
        <f>GC270+GC273+GC274+GC276</f>
        <v>431741.11232000001</v>
      </c>
      <c r="GD269" s="578">
        <f>GC269/FD269</f>
        <v>0.62186235525719491</v>
      </c>
      <c r="GE269" s="134">
        <f>GE270+GE273+GE274+GE276</f>
        <v>18326.522079999999</v>
      </c>
      <c r="GF269" s="578">
        <f>GE269/FE269</f>
        <v>0.52985897149630179</v>
      </c>
      <c r="GG269" s="136">
        <f>GG270+GG273+GG274+GG276</f>
        <v>208895.63909000001</v>
      </c>
      <c r="GH269" s="578">
        <f>GG269/FF269</f>
        <v>0.77195062559496963</v>
      </c>
      <c r="GI269" s="134">
        <f>GK269+GM269+GO269</f>
        <v>948442.02787999995</v>
      </c>
      <c r="GJ269" s="578">
        <f t="shared" si="471"/>
        <v>0.94894853674358559</v>
      </c>
      <c r="GK269" s="134">
        <f>SUM(GK270:GK276)</f>
        <v>647701.52756999992</v>
      </c>
      <c r="GL269" s="578">
        <f t="shared" si="472"/>
        <v>0.93292296226778548</v>
      </c>
      <c r="GM269" s="134">
        <f>SUM(GM270:GM276)</f>
        <v>30212.98113</v>
      </c>
      <c r="GN269" s="578">
        <f>GM269/FE269</f>
        <v>0.87352193926906707</v>
      </c>
      <c r="GO269" s="134">
        <f>SUM(GO270:GO276)</f>
        <v>270527.51918</v>
      </c>
      <c r="GP269" s="578">
        <f>GO269/FF269</f>
        <v>0.99970439106046993</v>
      </c>
      <c r="GQ269" s="136"/>
      <c r="GR269" s="136"/>
      <c r="GS269" s="136"/>
      <c r="GT269" s="136"/>
      <c r="GU269" s="136">
        <f t="shared" si="601"/>
        <v>794032.49861999997</v>
      </c>
      <c r="GV269" s="136">
        <f t="shared" si="601"/>
        <v>658599.94900000002</v>
      </c>
      <c r="GW269" s="136">
        <f t="shared" si="601"/>
        <v>35432.549619999998</v>
      </c>
      <c r="GX269" s="136">
        <f t="shared" si="601"/>
        <v>100000</v>
      </c>
      <c r="GY269" s="136">
        <f t="shared" si="601"/>
        <v>0</v>
      </c>
      <c r="GZ269" s="136">
        <f t="shared" si="601"/>
        <v>0</v>
      </c>
      <c r="HA269" s="136">
        <f t="shared" si="601"/>
        <v>0</v>
      </c>
      <c r="HB269" s="136">
        <f t="shared" si="601"/>
        <v>0</v>
      </c>
      <c r="HC269" s="136">
        <f t="shared" si="601"/>
        <v>0</v>
      </c>
      <c r="HD269" s="136">
        <f t="shared" si="601"/>
        <v>0</v>
      </c>
      <c r="HE269" s="136">
        <f t="shared" si="601"/>
        <v>0</v>
      </c>
      <c r="HF269" s="136">
        <f t="shared" si="601"/>
        <v>0</v>
      </c>
      <c r="HG269" s="136">
        <f t="shared" si="601"/>
        <v>0</v>
      </c>
      <c r="HH269" s="136">
        <f t="shared" si="601"/>
        <v>0</v>
      </c>
      <c r="HI269" s="136">
        <f t="shared" si="601"/>
        <v>0</v>
      </c>
      <c r="HJ269" s="136">
        <f t="shared" si="601"/>
        <v>0</v>
      </c>
      <c r="HK269" s="136">
        <f t="shared" si="601"/>
        <v>0</v>
      </c>
      <c r="HL269" s="136">
        <f t="shared" si="601"/>
        <v>0</v>
      </c>
      <c r="HM269" s="136">
        <f t="shared" si="601"/>
        <v>0</v>
      </c>
      <c r="HN269" s="136">
        <f t="shared" si="601"/>
        <v>0</v>
      </c>
      <c r="HO269" s="136">
        <f t="shared" si="601"/>
        <v>794032.49861999997</v>
      </c>
      <c r="HP269" s="136">
        <f t="shared" si="601"/>
        <v>658599.94900000002</v>
      </c>
      <c r="HQ269" s="136">
        <f t="shared" si="601"/>
        <v>35432.549619999998</v>
      </c>
      <c r="HR269" s="136">
        <f t="shared" si="601"/>
        <v>100000</v>
      </c>
      <c r="HS269" s="136">
        <f t="shared" si="601"/>
        <v>739610.01627000002</v>
      </c>
      <c r="HT269" s="136">
        <f t="shared" si="601"/>
        <v>603676.55599999998</v>
      </c>
      <c r="HU269" s="136">
        <f t="shared" si="601"/>
        <v>35933.460270000003</v>
      </c>
      <c r="HV269" s="136">
        <f t="shared" si="601"/>
        <v>100000</v>
      </c>
      <c r="HW269" s="136">
        <f t="shared" si="601"/>
        <v>0</v>
      </c>
      <c r="HX269" s="136">
        <f t="shared" si="601"/>
        <v>0</v>
      </c>
      <c r="HY269" s="136">
        <f t="shared" si="601"/>
        <v>0</v>
      </c>
      <c r="HZ269" s="136">
        <f t="shared" si="601"/>
        <v>0</v>
      </c>
      <c r="IA269" s="136">
        <f t="shared" si="601"/>
        <v>739610.01627000002</v>
      </c>
      <c r="IB269" s="136">
        <f t="shared" si="601"/>
        <v>603676.55599999998</v>
      </c>
      <c r="IC269" s="136">
        <f t="shared" si="601"/>
        <v>35933.460270000003</v>
      </c>
      <c r="ID269" s="136">
        <f t="shared" si="601"/>
        <v>100000</v>
      </c>
      <c r="IE269" s="216"/>
      <c r="IF269" s="141"/>
      <c r="IG269" s="141"/>
      <c r="IH269" s="141"/>
      <c r="II269" s="114"/>
      <c r="IJ269" s="114"/>
      <c r="IK269" s="114"/>
      <c r="IL269" s="114"/>
      <c r="IM269" s="114"/>
      <c r="IN269" s="114"/>
      <c r="IO269" s="114"/>
    </row>
    <row r="270" spans="2:249" s="283" customFormat="1" ht="91.5" customHeight="1" x14ac:dyDescent="0.3">
      <c r="B270" s="149" t="s">
        <v>98</v>
      </c>
      <c r="C270" s="107" t="s">
        <v>356</v>
      </c>
      <c r="D270" s="242" t="s">
        <v>357</v>
      </c>
      <c r="E270" s="192">
        <f>F270+G270</f>
        <v>109489.15300000001</v>
      </c>
      <c r="F270" s="192">
        <v>109489.15300000001</v>
      </c>
      <c r="G270" s="192"/>
      <c r="H270" s="192">
        <f>I270+J270</f>
        <v>0</v>
      </c>
      <c r="I270" s="192">
        <f>L270-F270</f>
        <v>0</v>
      </c>
      <c r="J270" s="192">
        <f>M270-G270</f>
        <v>0</v>
      </c>
      <c r="K270" s="192">
        <f>L270+M270</f>
        <v>109489.15300000001</v>
      </c>
      <c r="L270" s="192">
        <v>109489.15300000001</v>
      </c>
      <c r="M270" s="192"/>
      <c r="N270" s="192">
        <f>O270+P270</f>
        <v>0</v>
      </c>
      <c r="O270" s="192">
        <f>R270-L270</f>
        <v>0</v>
      </c>
      <c r="P270" s="192">
        <f>S270-M270</f>
        <v>0</v>
      </c>
      <c r="Q270" s="192">
        <f>R270+S270</f>
        <v>109489.15300000001</v>
      </c>
      <c r="R270" s="192">
        <v>109489.15300000001</v>
      </c>
      <c r="S270" s="192"/>
      <c r="T270" s="192">
        <f>U270+V270</f>
        <v>111417.522</v>
      </c>
      <c r="U270" s="192">
        <v>111417.522</v>
      </c>
      <c r="V270" s="192"/>
      <c r="W270" s="192">
        <f t="shared" si="580"/>
        <v>0</v>
      </c>
      <c r="X270" s="192">
        <f>AA270-U270</f>
        <v>0</v>
      </c>
      <c r="Y270" s="192">
        <f>AB270-V270</f>
        <v>0</v>
      </c>
      <c r="Z270" s="192">
        <f>AA270+AB270</f>
        <v>111417.522</v>
      </c>
      <c r="AA270" s="192">
        <v>111417.522</v>
      </c>
      <c r="AB270" s="192"/>
      <c r="AC270" s="192">
        <f>AD270+AE270</f>
        <v>0</v>
      </c>
      <c r="AD270" s="192">
        <v>0</v>
      </c>
      <c r="AE270" s="192"/>
      <c r="AF270" s="192">
        <f>AG270+AH270</f>
        <v>111417.522</v>
      </c>
      <c r="AG270" s="192">
        <f>'[11]2017 с уменьш по МО-нет в АЦК'!$AA$145</f>
        <v>111417.522</v>
      </c>
      <c r="AH270" s="192"/>
      <c r="AI270" s="192">
        <v>0</v>
      </c>
      <c r="AJ270" s="192">
        <v>0</v>
      </c>
      <c r="AK270" s="192">
        <f>Z270-AJ270</f>
        <v>111417.522</v>
      </c>
      <c r="AL270" s="192">
        <f>AF270-AJ270</f>
        <v>111417.522</v>
      </c>
      <c r="AM270" s="242" t="s">
        <v>358</v>
      </c>
      <c r="AN270" s="242" t="s">
        <v>358</v>
      </c>
      <c r="AO270" s="192">
        <v>1</v>
      </c>
      <c r="AP270" s="192"/>
      <c r="AQ270" s="192"/>
      <c r="AR270" s="192">
        <f>AF270-AP270-AQ270</f>
        <v>111417.522</v>
      </c>
      <c r="AS270" s="192">
        <f>AT270+AU270</f>
        <v>123423.428</v>
      </c>
      <c r="AT270" s="192">
        <f>'[5]2018-2019 _с лимит75и50'!BQ154</f>
        <v>123423.428</v>
      </c>
      <c r="AU270" s="192"/>
      <c r="AV270" s="192">
        <f>AW270+AX270</f>
        <v>0</v>
      </c>
      <c r="AW270" s="192">
        <v>0</v>
      </c>
      <c r="AX270" s="192">
        <f>BA270-AU270</f>
        <v>0</v>
      </c>
      <c r="AY270" s="192">
        <f>AZ270+BA270</f>
        <v>123423.428</v>
      </c>
      <c r="AZ270" s="192">
        <f>AT270</f>
        <v>123423.428</v>
      </c>
      <c r="BA270" s="192"/>
      <c r="BB270" s="192">
        <f>BC270+BD270</f>
        <v>130320.552</v>
      </c>
      <c r="BC270" s="192">
        <v>130320.552</v>
      </c>
      <c r="BD270" s="192"/>
      <c r="BE270" s="192">
        <f>BF270+BG270</f>
        <v>16200.594999999987</v>
      </c>
      <c r="BF270" s="192">
        <f>BI270-AZ270</f>
        <v>16200.594999999987</v>
      </c>
      <c r="BG270" s="192">
        <f>BX270-BD270</f>
        <v>0</v>
      </c>
      <c r="BH270" s="192">
        <f>BI270+BJ270</f>
        <v>139624.02299999999</v>
      </c>
      <c r="BI270" s="192">
        <v>139624.02299999999</v>
      </c>
      <c r="BJ270" s="192"/>
      <c r="BK270" s="192">
        <v>1</v>
      </c>
      <c r="BL270" s="153">
        <f t="shared" si="584"/>
        <v>123423.428</v>
      </c>
      <c r="BM270" s="153"/>
      <c r="BN270" s="153"/>
      <c r="BO270" s="153"/>
      <c r="BP270" s="153"/>
      <c r="BQ270" s="153"/>
      <c r="BR270" s="153"/>
      <c r="BS270" s="153">
        <f>BT270+BU270</f>
        <v>139624.02299999999</v>
      </c>
      <c r="BT270" s="153">
        <f>BI270</f>
        <v>139624.02299999999</v>
      </c>
      <c r="BU270" s="153"/>
      <c r="BV270" s="192">
        <f>BW270+BX270</f>
        <v>123423.428</v>
      </c>
      <c r="BW270" s="192">
        <v>123423.428</v>
      </c>
      <c r="BX270" s="192"/>
      <c r="BY270" s="192">
        <f>BZ270+CA270</f>
        <v>0</v>
      </c>
      <c r="BZ270" s="192">
        <v>0</v>
      </c>
      <c r="CA270" s="192">
        <f>CD270-BX270</f>
        <v>0</v>
      </c>
      <c r="CB270" s="192">
        <f>CC270+CD270</f>
        <v>139624.02299999999</v>
      </c>
      <c r="CC270" s="192">
        <v>139624.02299999999</v>
      </c>
      <c r="CD270" s="192"/>
      <c r="CE270" s="192">
        <v>1</v>
      </c>
      <c r="CF270" s="153">
        <f t="shared" si="586"/>
        <v>123423.428</v>
      </c>
      <c r="CG270" s="192"/>
      <c r="CH270" s="192">
        <f>CI270+CJ270</f>
        <v>129594.6</v>
      </c>
      <c r="CI270" s="192">
        <v>129594.6</v>
      </c>
      <c r="CJ270" s="192"/>
      <c r="CK270" s="192">
        <f>CL270+CM270</f>
        <v>15614.383999999991</v>
      </c>
      <c r="CL270" s="192">
        <f>CR270-CH270</f>
        <v>15614.383999999991</v>
      </c>
      <c r="CM270" s="192">
        <f>CS270-CJ270</f>
        <v>0</v>
      </c>
      <c r="CN270" s="192"/>
      <c r="CO270" s="192"/>
      <c r="CP270" s="192"/>
      <c r="CQ270" s="192">
        <f>CR270+CS270</f>
        <v>145208.984</v>
      </c>
      <c r="CR270" s="192">
        <v>145208.984</v>
      </c>
      <c r="CS270" s="192"/>
      <c r="CT270" s="192">
        <f>CU270+CV270</f>
        <v>0</v>
      </c>
      <c r="CU270" s="192">
        <f>CA270</f>
        <v>0</v>
      </c>
      <c r="CV270" s="192"/>
      <c r="CW270" s="192">
        <f t="shared" si="596"/>
        <v>140875.02299999999</v>
      </c>
      <c r="CX270" s="192">
        <v>140875.02299999999</v>
      </c>
      <c r="CY270" s="192"/>
      <c r="CZ270" s="192">
        <f>DA270+DB270</f>
        <v>145208.984</v>
      </c>
      <c r="DA270" s="192">
        <v>145208.984</v>
      </c>
      <c r="DB270" s="192"/>
      <c r="DC270" s="192"/>
      <c r="DD270" s="192"/>
      <c r="DE270" s="192"/>
      <c r="DF270" s="192">
        <f t="shared" si="597"/>
        <v>248442.39999999997</v>
      </c>
      <c r="DG270" s="192">
        <f>DJ270-CX270</f>
        <v>248442.39999999997</v>
      </c>
      <c r="DH270" s="192"/>
      <c r="DI270" s="192">
        <f t="shared" si="598"/>
        <v>389317.42299999995</v>
      </c>
      <c r="DJ270" s="192">
        <f>139624.023+1251+248442.4</f>
        <v>389317.42299999995</v>
      </c>
      <c r="DK270" s="192"/>
      <c r="DL270" s="192">
        <f>DM270+DN270</f>
        <v>0</v>
      </c>
      <c r="DM270" s="192">
        <v>0</v>
      </c>
      <c r="DN270" s="192"/>
      <c r="DO270" s="192">
        <f>DP270+DQ270</f>
        <v>0</v>
      </c>
      <c r="DP270" s="192">
        <v>0</v>
      </c>
      <c r="DQ270" s="192"/>
      <c r="DR270" s="192">
        <f>DS270+DT270</f>
        <v>389317.42299999995</v>
      </c>
      <c r="DS270" s="192">
        <f>DJ270-DM270-DP270</f>
        <v>389317.42299999995</v>
      </c>
      <c r="DT270" s="192"/>
      <c r="DU270" s="192">
        <f>DV270+DW270</f>
        <v>145208.984</v>
      </c>
      <c r="DV270" s="192">
        <v>145208.984</v>
      </c>
      <c r="DW270" s="192"/>
      <c r="DX270" s="192">
        <f>DY270+DZ270</f>
        <v>158124.29999999999</v>
      </c>
      <c r="DY270" s="192">
        <v>158124.29999999999</v>
      </c>
      <c r="DZ270" s="192"/>
      <c r="EA270" s="192"/>
      <c r="EB270" s="192"/>
      <c r="EC270" s="192"/>
      <c r="ED270" s="192">
        <f>EH270-DV270</f>
        <v>478796.74174000003</v>
      </c>
      <c r="EE270" s="192">
        <f>EH270-DV270</f>
        <v>478796.74174000003</v>
      </c>
      <c r="EF270" s="192"/>
      <c r="EG270" s="192">
        <f>EH270+EI270+EJ270</f>
        <v>658593.27274000004</v>
      </c>
      <c r="EH270" s="192">
        <f>625896.06324-EH271</f>
        <v>624005.72574000002</v>
      </c>
      <c r="EI270" s="192">
        <v>34587.546999999999</v>
      </c>
      <c r="EJ270" s="192"/>
      <c r="EK270" s="192">
        <f>EL270+EM270+EN270</f>
        <v>-656702.93524000002</v>
      </c>
      <c r="EL270" s="192">
        <f>ET270-EH270</f>
        <v>-622115.38824</v>
      </c>
      <c r="EM270" s="192">
        <f>EU270-EI270</f>
        <v>-34587.546999999999</v>
      </c>
      <c r="EN270" s="192"/>
      <c r="EO270" s="192">
        <f>EP270+ER270</f>
        <v>0</v>
      </c>
      <c r="EP270" s="192"/>
      <c r="EQ270" s="192">
        <f>EY270-EM270</f>
        <v>34587.546999999999</v>
      </c>
      <c r="ER270" s="192"/>
      <c r="ES270" s="192">
        <f t="shared" si="600"/>
        <v>1890.3375000000233</v>
      </c>
      <c r="ET270" s="289">
        <f>FP270-EH270</f>
        <v>1890.3375000000233</v>
      </c>
      <c r="EU270" s="289"/>
      <c r="EV270" s="192"/>
      <c r="EW270" s="192">
        <f>EX270+EY270</f>
        <v>158124.29999999999</v>
      </c>
      <c r="EX270" s="192">
        <v>158124.29999999999</v>
      </c>
      <c r="EY270" s="192"/>
      <c r="EZ270" s="192"/>
      <c r="FA270" s="192"/>
      <c r="FB270" s="192"/>
      <c r="FC270" s="201">
        <f>FD270+FE270+FF270</f>
        <v>660483.61024000007</v>
      </c>
      <c r="FD270" s="201">
        <v>625896.06324000005</v>
      </c>
      <c r="FE270" s="201">
        <v>34587.546999999999</v>
      </c>
      <c r="FF270" s="201"/>
      <c r="FG270" s="201">
        <f>FH270+FJ270</f>
        <v>0</v>
      </c>
      <c r="FH270" s="201">
        <f>FP270-FD270</f>
        <v>0</v>
      </c>
      <c r="FI270" s="201"/>
      <c r="FJ270" s="201"/>
      <c r="FK270" s="201">
        <f>FL270+FN270</f>
        <v>0</v>
      </c>
      <c r="FL270" s="201"/>
      <c r="FM270" s="201"/>
      <c r="FN270" s="201"/>
      <c r="FO270" s="201">
        <f>FP270+FQ270+FR270</f>
        <v>660483.61024000007</v>
      </c>
      <c r="FP270" s="201">
        <f>FD270</f>
        <v>625896.06324000005</v>
      </c>
      <c r="FQ270" s="201">
        <f>EI270</f>
        <v>34587.546999999999</v>
      </c>
      <c r="FR270" s="201"/>
      <c r="FS270" s="201">
        <f>FU270+FW270+FY270</f>
        <v>464599.74568000005</v>
      </c>
      <c r="FT270" s="574">
        <f t="shared" si="506"/>
        <v>0.7034235800509544</v>
      </c>
      <c r="FU270" s="201">
        <v>444510.06615000003</v>
      </c>
      <c r="FV270" s="574">
        <f t="shared" si="507"/>
        <v>0.71019789427809921</v>
      </c>
      <c r="FW270" s="201">
        <f>'[12]на 1июля'!$FW$269</f>
        <v>20089.679530000001</v>
      </c>
      <c r="FX270" s="574">
        <f>FW270/FE270</f>
        <v>0.58083562647562148</v>
      </c>
      <c r="FY270" s="192"/>
      <c r="FZ270" s="669"/>
      <c r="GA270" s="201">
        <f>GC270+GE270+GG270</f>
        <v>450033.35840000003</v>
      </c>
      <c r="GB270" s="574">
        <f>GA270/FC270</f>
        <v>0.68136945629350487</v>
      </c>
      <c r="GC270" s="201">
        <v>431706.83632</v>
      </c>
      <c r="GD270" s="574">
        <f>GC270/FD270</f>
        <v>0.68974205411236444</v>
      </c>
      <c r="GE270" s="201">
        <v>18326.522079999999</v>
      </c>
      <c r="GF270" s="574">
        <f>GE270/FE270</f>
        <v>0.52985897149630179</v>
      </c>
      <c r="GG270" s="201"/>
      <c r="GH270" s="192"/>
      <c r="GI270" s="201">
        <f>GK270+GM270</f>
        <v>620535.77663999994</v>
      </c>
      <c r="GJ270" s="574">
        <f t="shared" si="471"/>
        <v>0.93951729765787184</v>
      </c>
      <c r="GK270" s="201">
        <v>590322.79550999997</v>
      </c>
      <c r="GL270" s="574">
        <f t="shared" si="472"/>
        <v>0.94316425710388352</v>
      </c>
      <c r="GM270" s="201">
        <f>'[12]на 1июля'!$GM$269</f>
        <v>30212.98113</v>
      </c>
      <c r="GN270" s="574">
        <f t="shared" ref="GN270:GN272" si="602">GM270/FE270</f>
        <v>0.87352193926906707</v>
      </c>
      <c r="GO270" s="201">
        <v>0</v>
      </c>
      <c r="GP270" s="574">
        <v>0</v>
      </c>
      <c r="GQ270" s="192"/>
      <c r="GR270" s="192"/>
      <c r="GS270" s="192"/>
      <c r="GT270" s="192"/>
      <c r="GU270" s="192">
        <f>GV270+GW270+GX270</f>
        <v>654032.49861999997</v>
      </c>
      <c r="GV270" s="192">
        <v>618599.94900000002</v>
      </c>
      <c r="GW270" s="192">
        <f>35201.46798+231.08164</f>
        <v>35432.549619999998</v>
      </c>
      <c r="GX270" s="192"/>
      <c r="GY270" s="192"/>
      <c r="GZ270" s="192"/>
      <c r="HA270" s="192"/>
      <c r="HB270" s="192"/>
      <c r="HC270" s="192"/>
      <c r="HD270" s="192"/>
      <c r="HE270" s="192"/>
      <c r="HF270" s="192"/>
      <c r="HG270" s="192">
        <f>HH270</f>
        <v>0</v>
      </c>
      <c r="HH270" s="192">
        <f>HP270-GV270</f>
        <v>0</v>
      </c>
      <c r="HI270" s="192"/>
      <c r="HJ270" s="192"/>
      <c r="HK270" s="192">
        <f>HL270</f>
        <v>0</v>
      </c>
      <c r="HL270" s="192">
        <f>IF270-GZ270</f>
        <v>0</v>
      </c>
      <c r="HM270" s="192"/>
      <c r="HN270" s="192"/>
      <c r="HO270" s="192">
        <f>HP270+HQ270</f>
        <v>654032.49861999997</v>
      </c>
      <c r="HP270" s="192">
        <f>GV270</f>
        <v>618599.94900000002</v>
      </c>
      <c r="HQ270" s="192">
        <f>GW270</f>
        <v>35432.549619999998</v>
      </c>
      <c r="HR270" s="192"/>
      <c r="HS270" s="192">
        <f>HT270+HU270+HV270</f>
        <v>629610.01627000002</v>
      </c>
      <c r="HT270" s="192">
        <v>593676.55599999998</v>
      </c>
      <c r="HU270" s="192">
        <f>35201.46798+731.99229</f>
        <v>35933.460270000003</v>
      </c>
      <c r="HV270" s="201"/>
      <c r="HW270" s="192">
        <f>HX270</f>
        <v>0</v>
      </c>
      <c r="HX270" s="192">
        <f>IR270-HL270</f>
        <v>0</v>
      </c>
      <c r="HY270" s="192"/>
      <c r="HZ270" s="192"/>
      <c r="IA270" s="192">
        <f>IB270+IC270+ID270</f>
        <v>629610.01627000002</v>
      </c>
      <c r="IB270" s="192">
        <f>HT270</f>
        <v>593676.55599999998</v>
      </c>
      <c r="IC270" s="192">
        <f>HU270</f>
        <v>35933.460270000003</v>
      </c>
      <c r="ID270" s="192"/>
      <c r="IE270" s="196" t="s">
        <v>359</v>
      </c>
      <c r="IF270" s="282"/>
      <c r="IG270" s="282"/>
      <c r="IH270" s="282"/>
    </row>
    <row r="271" spans="2:249" s="283" customFormat="1" ht="91.5" hidden="1" customHeight="1" x14ac:dyDescent="0.3">
      <c r="B271" s="149" t="s">
        <v>97</v>
      </c>
      <c r="C271" s="107" t="s">
        <v>360</v>
      </c>
      <c r="D271" s="24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242"/>
      <c r="AN271" s="242"/>
      <c r="AO271" s="192"/>
      <c r="AP271" s="192"/>
      <c r="AQ271" s="192"/>
      <c r="AR271" s="192"/>
      <c r="AS271" s="192"/>
      <c r="AT271" s="192"/>
      <c r="AU271" s="192"/>
      <c r="AV271" s="192"/>
      <c r="AW271" s="192"/>
      <c r="AX271" s="192"/>
      <c r="AY271" s="192"/>
      <c r="AZ271" s="192"/>
      <c r="BA271" s="192"/>
      <c r="BB271" s="192"/>
      <c r="BC271" s="192"/>
      <c r="BD271" s="192"/>
      <c r="BE271" s="192"/>
      <c r="BF271" s="192"/>
      <c r="BG271" s="192"/>
      <c r="BH271" s="192"/>
      <c r="BI271" s="192"/>
      <c r="BJ271" s="192"/>
      <c r="BK271" s="192"/>
      <c r="BL271" s="153"/>
      <c r="BM271" s="153"/>
      <c r="BN271" s="153"/>
      <c r="BO271" s="153"/>
      <c r="BP271" s="153"/>
      <c r="BQ271" s="153"/>
      <c r="BR271" s="153"/>
      <c r="BS271" s="153"/>
      <c r="BT271" s="153"/>
      <c r="BU271" s="153"/>
      <c r="BV271" s="192"/>
      <c r="BW271" s="192"/>
      <c r="BX271" s="192"/>
      <c r="BY271" s="192"/>
      <c r="BZ271" s="192"/>
      <c r="CA271" s="192"/>
      <c r="CB271" s="192"/>
      <c r="CC271" s="192"/>
      <c r="CD271" s="192"/>
      <c r="CE271" s="192"/>
      <c r="CF271" s="153"/>
      <c r="CG271" s="192"/>
      <c r="CH271" s="192"/>
      <c r="CI271" s="192"/>
      <c r="CJ271" s="192"/>
      <c r="CK271" s="192"/>
      <c r="CL271" s="192"/>
      <c r="CM271" s="192"/>
      <c r="CN271" s="192"/>
      <c r="CO271" s="192"/>
      <c r="CP271" s="192"/>
      <c r="CQ271" s="192"/>
      <c r="CR271" s="192"/>
      <c r="CS271" s="192"/>
      <c r="CT271" s="192"/>
      <c r="CU271" s="192"/>
      <c r="CV271" s="192"/>
      <c r="CW271" s="192"/>
      <c r="CX271" s="192"/>
      <c r="CY271" s="192"/>
      <c r="CZ271" s="192"/>
      <c r="DA271" s="192"/>
      <c r="DB271" s="192"/>
      <c r="DC271" s="192"/>
      <c r="DD271" s="192"/>
      <c r="DE271" s="192"/>
      <c r="DF271" s="192"/>
      <c r="DG271" s="192"/>
      <c r="DH271" s="192"/>
      <c r="DI271" s="192"/>
      <c r="DJ271" s="192"/>
      <c r="DK271" s="192"/>
      <c r="DL271" s="192"/>
      <c r="DM271" s="192"/>
      <c r="DN271" s="192"/>
      <c r="DO271" s="192"/>
      <c r="DP271" s="192"/>
      <c r="DQ271" s="192"/>
      <c r="DR271" s="192"/>
      <c r="DS271" s="192"/>
      <c r="DT271" s="192"/>
      <c r="DU271" s="192"/>
      <c r="DV271" s="192"/>
      <c r="DW271" s="192"/>
      <c r="DX271" s="192"/>
      <c r="DY271" s="192"/>
      <c r="DZ271" s="192"/>
      <c r="EA271" s="192"/>
      <c r="EB271" s="192"/>
      <c r="EC271" s="192"/>
      <c r="ED271" s="192"/>
      <c r="EE271" s="192"/>
      <c r="EF271" s="192"/>
      <c r="EG271" s="192">
        <f>EH271+EI271+EJ271</f>
        <v>1890.3375000000001</v>
      </c>
      <c r="EH271" s="192">
        <v>1890.3375000000001</v>
      </c>
      <c r="EI271" s="192"/>
      <c r="EJ271" s="192"/>
      <c r="EK271" s="192">
        <f>EL271+EN271</f>
        <v>-1890.3375000000001</v>
      </c>
      <c r="EL271" s="192">
        <f>ET271-EH271</f>
        <v>-1890.3375000000001</v>
      </c>
      <c r="EM271" s="192"/>
      <c r="EN271" s="192"/>
      <c r="EO271" s="192"/>
      <c r="EP271" s="192"/>
      <c r="EQ271" s="192"/>
      <c r="ER271" s="192"/>
      <c r="ES271" s="192">
        <f t="shared" si="600"/>
        <v>0</v>
      </c>
      <c r="ET271" s="289"/>
      <c r="EU271" s="289"/>
      <c r="EV271" s="192"/>
      <c r="EW271" s="192"/>
      <c r="EX271" s="192"/>
      <c r="EY271" s="192"/>
      <c r="EZ271" s="192"/>
      <c r="FA271" s="192"/>
      <c r="FB271" s="192"/>
      <c r="FC271" s="201">
        <f>FD271+FE271+FF271</f>
        <v>0</v>
      </c>
      <c r="FD271" s="201">
        <v>0</v>
      </c>
      <c r="FE271" s="201"/>
      <c r="FF271" s="201"/>
      <c r="FG271" s="201">
        <f>FH271+FJ271</f>
        <v>0</v>
      </c>
      <c r="FH271" s="201">
        <f>FP271-FD271</f>
        <v>0</v>
      </c>
      <c r="FI271" s="201"/>
      <c r="FJ271" s="201"/>
      <c r="FK271" s="201"/>
      <c r="FL271" s="201"/>
      <c r="FM271" s="201"/>
      <c r="FN271" s="201"/>
      <c r="FO271" s="201">
        <f>FP271+FQ271+FR271</f>
        <v>0</v>
      </c>
      <c r="FP271" s="201">
        <v>0</v>
      </c>
      <c r="FQ271" s="201"/>
      <c r="FR271" s="201"/>
      <c r="FS271" s="201">
        <f t="shared" ref="FS271:FS276" si="603">FU271+FW271+FY271</f>
        <v>0</v>
      </c>
      <c r="FT271" s="574" t="e">
        <f t="shared" si="506"/>
        <v>#DIV/0!</v>
      </c>
      <c r="FU271" s="201"/>
      <c r="FV271" s="574" t="e">
        <f t="shared" si="507"/>
        <v>#DIV/0!</v>
      </c>
      <c r="FW271" s="192"/>
      <c r="FX271" s="192"/>
      <c r="FY271" s="192"/>
      <c r="FZ271" s="669"/>
      <c r="GA271" s="201">
        <f t="shared" ref="GA271:GA276" si="604">GC271+GE271+GG271</f>
        <v>0</v>
      </c>
      <c r="GB271" s="574" t="e">
        <f t="shared" ref="GB271:GB276" si="605">GA271/FC271</f>
        <v>#DIV/0!</v>
      </c>
      <c r="GC271" s="201"/>
      <c r="GD271" s="574" t="e">
        <f t="shared" ref="GD271:GD276" si="606">GC271/FD271</f>
        <v>#DIV/0!</v>
      </c>
      <c r="GE271" s="192"/>
      <c r="GF271" s="192"/>
      <c r="GG271" s="201"/>
      <c r="GH271" s="192"/>
      <c r="GI271" s="201">
        <f t="shared" ref="GI271:GI276" si="607">GK271+GM271+GO271</f>
        <v>0</v>
      </c>
      <c r="GJ271" s="574" t="e">
        <f t="shared" si="471"/>
        <v>#DIV/0!</v>
      </c>
      <c r="GK271" s="201"/>
      <c r="GL271" s="574" t="e">
        <f t="shared" si="472"/>
        <v>#DIV/0!</v>
      </c>
      <c r="GM271" s="201"/>
      <c r="GN271" s="574" t="e">
        <f t="shared" si="602"/>
        <v>#DIV/0!</v>
      </c>
      <c r="GO271" s="201"/>
      <c r="GP271" s="574" t="e">
        <f t="shared" ref="GP271:GP275" si="608">GO271/FF271</f>
        <v>#DIV/0!</v>
      </c>
      <c r="GQ271" s="192"/>
      <c r="GR271" s="192"/>
      <c r="GS271" s="192"/>
      <c r="GT271" s="192"/>
      <c r="GU271" s="192">
        <f>GV271+GW271+GX271</f>
        <v>0</v>
      </c>
      <c r="GV271" s="192">
        <v>0</v>
      </c>
      <c r="GW271" s="192"/>
      <c r="GX271" s="192"/>
      <c r="GY271" s="192"/>
      <c r="GZ271" s="192"/>
      <c r="HA271" s="192"/>
      <c r="HB271" s="192"/>
      <c r="HC271" s="192"/>
      <c r="HD271" s="192"/>
      <c r="HE271" s="192"/>
      <c r="HF271" s="192"/>
      <c r="HG271" s="192">
        <v>0</v>
      </c>
      <c r="HH271" s="192">
        <v>0</v>
      </c>
      <c r="HI271" s="192"/>
      <c r="HJ271" s="192"/>
      <c r="HK271" s="192"/>
      <c r="HL271" s="192"/>
      <c r="HM271" s="192"/>
      <c r="HN271" s="192"/>
      <c r="HO271" s="192">
        <v>0</v>
      </c>
      <c r="HP271" s="192">
        <v>0</v>
      </c>
      <c r="HQ271" s="192"/>
      <c r="HR271" s="192"/>
      <c r="HS271" s="192">
        <f>HT271+HU271+HV271</f>
        <v>0</v>
      </c>
      <c r="HT271" s="192">
        <v>0</v>
      </c>
      <c r="HU271" s="192"/>
      <c r="HV271" s="192"/>
      <c r="HW271" s="192"/>
      <c r="HX271" s="192"/>
      <c r="HY271" s="192"/>
      <c r="HZ271" s="192"/>
      <c r="IA271" s="192">
        <f>IB271+IC271+ID271</f>
        <v>0</v>
      </c>
      <c r="IB271" s="192">
        <v>0</v>
      </c>
      <c r="IC271" s="192"/>
      <c r="ID271" s="192"/>
      <c r="IE271" s="196" t="s">
        <v>361</v>
      </c>
      <c r="IF271" s="282"/>
      <c r="IG271" s="282"/>
      <c r="IH271" s="282"/>
    </row>
    <row r="272" spans="2:249" s="283" customFormat="1" ht="93.75" hidden="1" customHeight="1" x14ac:dyDescent="0.3">
      <c r="B272" s="149" t="s">
        <v>97</v>
      </c>
      <c r="C272" s="107" t="s">
        <v>362</v>
      </c>
      <c r="D272" s="242" t="s">
        <v>363</v>
      </c>
      <c r="E272" s="192">
        <f>F272+G272</f>
        <v>100000</v>
      </c>
      <c r="F272" s="192">
        <v>100000</v>
      </c>
      <c r="G272" s="192"/>
      <c r="H272" s="192">
        <f>I272+J272</f>
        <v>0</v>
      </c>
      <c r="I272" s="192">
        <f>L272-F272</f>
        <v>0</v>
      </c>
      <c r="J272" s="192">
        <f>M272-G272</f>
        <v>0</v>
      </c>
      <c r="K272" s="192">
        <f>L272+M272</f>
        <v>100000</v>
      </c>
      <c r="L272" s="192">
        <v>100000</v>
      </c>
      <c r="M272" s="192"/>
      <c r="N272" s="192">
        <f>O272+P272</f>
        <v>-94000</v>
      </c>
      <c r="O272" s="192">
        <f>R272-L272</f>
        <v>-94000</v>
      </c>
      <c r="P272" s="192">
        <f>S272-M272</f>
        <v>0</v>
      </c>
      <c r="Q272" s="192">
        <f>R272+S272</f>
        <v>6000</v>
      </c>
      <c r="R272" s="192">
        <v>6000</v>
      </c>
      <c r="S272" s="192"/>
      <c r="T272" s="192">
        <f>U272+V272</f>
        <v>100000</v>
      </c>
      <c r="U272" s="192">
        <v>100000</v>
      </c>
      <c r="V272" s="192"/>
      <c r="W272" s="192">
        <f>X272+Y272</f>
        <v>0</v>
      </c>
      <c r="X272" s="192">
        <f>AA272-U272</f>
        <v>0</v>
      </c>
      <c r="Y272" s="192">
        <f>AB272-V272</f>
        <v>0</v>
      </c>
      <c r="Z272" s="192">
        <f>AA272+AB272</f>
        <v>100000</v>
      </c>
      <c r="AA272" s="192">
        <v>100000</v>
      </c>
      <c r="AB272" s="192"/>
      <c r="AC272" s="192">
        <f>AD272+AE272</f>
        <v>0</v>
      </c>
      <c r="AD272" s="192">
        <v>0</v>
      </c>
      <c r="AE272" s="192"/>
      <c r="AF272" s="192">
        <f>AG272+AH272</f>
        <v>100000</v>
      </c>
      <c r="AG272" s="192">
        <f>AA272+AD272</f>
        <v>100000</v>
      </c>
      <c r="AH272" s="192"/>
      <c r="AI272" s="192">
        <v>0</v>
      </c>
      <c r="AJ272" s="192">
        <v>0</v>
      </c>
      <c r="AK272" s="192">
        <f>Z272-AJ272</f>
        <v>100000</v>
      </c>
      <c r="AL272" s="192">
        <f>AF272-AJ272</f>
        <v>100000</v>
      </c>
      <c r="AM272" s="248" t="s">
        <v>364</v>
      </c>
      <c r="AN272" s="248" t="s">
        <v>365</v>
      </c>
      <c r="AO272" s="192">
        <v>1</v>
      </c>
      <c r="AP272" s="249"/>
      <c r="AQ272" s="249"/>
      <c r="AR272" s="192">
        <f>AF272-AP272-AQ272</f>
        <v>100000</v>
      </c>
      <c r="AS272" s="192">
        <f>AT272+AU272</f>
        <v>100000</v>
      </c>
      <c r="AT272" s="192">
        <f>'[5]2018-2019 _с лимит75и50'!BQ155</f>
        <v>100000</v>
      </c>
      <c r="AU272" s="192"/>
      <c r="AV272" s="192">
        <f>AW272+AX272</f>
        <v>-50000</v>
      </c>
      <c r="AW272" s="192">
        <v>-50000</v>
      </c>
      <c r="AX272" s="192">
        <f>BA272-AU272</f>
        <v>0</v>
      </c>
      <c r="AY272" s="192">
        <f>AZ272+BA272</f>
        <v>50000</v>
      </c>
      <c r="AZ272" s="192">
        <f>AT272+AW272</f>
        <v>50000</v>
      </c>
      <c r="BA272" s="192"/>
      <c r="BB272" s="192">
        <f>BC272+BD272</f>
        <v>100000</v>
      </c>
      <c r="BC272" s="192">
        <v>100000</v>
      </c>
      <c r="BD272" s="192"/>
      <c r="BE272" s="192">
        <f>BF272+BG272</f>
        <v>0</v>
      </c>
      <c r="BF272" s="192">
        <f>BW272-BC272</f>
        <v>0</v>
      </c>
      <c r="BG272" s="192">
        <f>BX272-BD272</f>
        <v>0</v>
      </c>
      <c r="BH272" s="192">
        <f>BI272+BJ272</f>
        <v>50000</v>
      </c>
      <c r="BI272" s="192">
        <f>AZ272</f>
        <v>50000</v>
      </c>
      <c r="BJ272" s="192"/>
      <c r="BK272" s="192">
        <v>1</v>
      </c>
      <c r="BL272" s="153">
        <f>AY272</f>
        <v>50000</v>
      </c>
      <c r="BM272" s="153"/>
      <c r="BN272" s="153"/>
      <c r="BO272" s="153"/>
      <c r="BP272" s="153"/>
      <c r="BQ272" s="153"/>
      <c r="BR272" s="153"/>
      <c r="BS272" s="153">
        <f>BT272+BU272</f>
        <v>50000</v>
      </c>
      <c r="BT272" s="153">
        <f>AZ272</f>
        <v>50000</v>
      </c>
      <c r="BU272" s="153"/>
      <c r="BV272" s="192">
        <f>BW272+BX272</f>
        <v>100000</v>
      </c>
      <c r="BW272" s="192">
        <v>100000</v>
      </c>
      <c r="BX272" s="192"/>
      <c r="BY272" s="192">
        <f>BZ272+CA272</f>
        <v>-41000</v>
      </c>
      <c r="BZ272" s="192">
        <f>CC272-BI272</f>
        <v>-41000</v>
      </c>
      <c r="CA272" s="192">
        <f>CD272-BX272</f>
        <v>0</v>
      </c>
      <c r="CB272" s="192">
        <f>CC272+CD272</f>
        <v>9000</v>
      </c>
      <c r="CC272" s="192">
        <v>9000</v>
      </c>
      <c r="CD272" s="192"/>
      <c r="CE272" s="192">
        <v>1</v>
      </c>
      <c r="CF272" s="153">
        <f>BV272</f>
        <v>100000</v>
      </c>
      <c r="CG272" s="242" t="s">
        <v>328</v>
      </c>
      <c r="CH272" s="192">
        <f>CI272+CJ272</f>
        <v>105000</v>
      </c>
      <c r="CI272" s="192">
        <v>105000</v>
      </c>
      <c r="CJ272" s="192"/>
      <c r="CK272" s="192">
        <f>CL272+CM272</f>
        <v>-33614.384000000005</v>
      </c>
      <c r="CL272" s="192">
        <f>CR272-CI272</f>
        <v>-33614.384000000005</v>
      </c>
      <c r="CM272" s="192">
        <f>CS272-CJ272</f>
        <v>0</v>
      </c>
      <c r="CN272" s="192"/>
      <c r="CO272" s="192"/>
      <c r="CP272" s="192"/>
      <c r="CQ272" s="192">
        <f>CR272+CS272</f>
        <v>71385.615999999995</v>
      </c>
      <c r="CR272" s="192">
        <v>71385.615999999995</v>
      </c>
      <c r="CS272" s="192"/>
      <c r="CT272" s="192">
        <f>CU272+CV272</f>
        <v>0</v>
      </c>
      <c r="CU272" s="192">
        <v>0</v>
      </c>
      <c r="CV272" s="192"/>
      <c r="CW272" s="192">
        <f t="shared" si="596"/>
        <v>150000</v>
      </c>
      <c r="CX272" s="192">
        <v>150000</v>
      </c>
      <c r="CY272" s="192"/>
      <c r="CZ272" s="192">
        <f>DA272+DB272</f>
        <v>22000</v>
      </c>
      <c r="DA272" s="192">
        <v>22000</v>
      </c>
      <c r="DB272" s="192"/>
      <c r="DC272" s="192"/>
      <c r="DD272" s="192"/>
      <c r="DE272" s="192"/>
      <c r="DF272" s="192">
        <f t="shared" si="597"/>
        <v>0</v>
      </c>
      <c r="DG272" s="192">
        <f>DJ272-CX272</f>
        <v>0</v>
      </c>
      <c r="DH272" s="192"/>
      <c r="DI272" s="192">
        <f t="shared" si="598"/>
        <v>150000</v>
      </c>
      <c r="DJ272" s="192">
        <v>150000</v>
      </c>
      <c r="DK272" s="192"/>
      <c r="DL272" s="192">
        <f>DM272+DN272</f>
        <v>0</v>
      </c>
      <c r="DM272" s="192">
        <v>0</v>
      </c>
      <c r="DN272" s="192"/>
      <c r="DO272" s="192">
        <f>DP272+DQ272</f>
        <v>0</v>
      </c>
      <c r="DP272" s="192">
        <v>0</v>
      </c>
      <c r="DQ272" s="192"/>
      <c r="DR272" s="192">
        <f>DS272+DT272</f>
        <v>150000</v>
      </c>
      <c r="DS272" s="192">
        <f>DJ272-DM272-DP272</f>
        <v>150000</v>
      </c>
      <c r="DT272" s="192"/>
      <c r="DU272" s="192">
        <f>DV272+DW272</f>
        <v>0</v>
      </c>
      <c r="DV272" s="192">
        <v>0</v>
      </c>
      <c r="DW272" s="192"/>
      <c r="DX272" s="192">
        <f>DY272+DZ272</f>
        <v>10000</v>
      </c>
      <c r="DY272" s="192">
        <v>10000</v>
      </c>
      <c r="DZ272" s="192"/>
      <c r="EA272" s="192"/>
      <c r="EB272" s="192"/>
      <c r="EC272" s="192"/>
      <c r="ED272" s="192">
        <f>EH272-DV272</f>
        <v>0</v>
      </c>
      <c r="EE272" s="192">
        <f>EH272-DV272</f>
        <v>0</v>
      </c>
      <c r="EF272" s="192">
        <v>0</v>
      </c>
      <c r="EG272" s="192">
        <f>EH272</f>
        <v>0</v>
      </c>
      <c r="EH272" s="192">
        <v>0</v>
      </c>
      <c r="EI272" s="192"/>
      <c r="EJ272" s="192"/>
      <c r="EK272" s="192">
        <f>EL272+EN272</f>
        <v>0</v>
      </c>
      <c r="EL272" s="192">
        <f>ET272-EH272</f>
        <v>0</v>
      </c>
      <c r="EM272" s="192"/>
      <c r="EN272" s="192"/>
      <c r="EO272" s="192">
        <f>EP272+ER272</f>
        <v>0</v>
      </c>
      <c r="EP272" s="192"/>
      <c r="EQ272" s="192"/>
      <c r="ER272" s="192"/>
      <c r="ES272" s="192">
        <f t="shared" si="600"/>
        <v>0</v>
      </c>
      <c r="ET272" s="289"/>
      <c r="EU272" s="289"/>
      <c r="EV272" s="192"/>
      <c r="EW272" s="192">
        <f>EX272+EY272</f>
        <v>0</v>
      </c>
      <c r="EX272" s="192">
        <v>0</v>
      </c>
      <c r="EY272" s="192"/>
      <c r="EZ272" s="192">
        <f>FA272+FB272</f>
        <v>0</v>
      </c>
      <c r="FA272" s="192">
        <f>FD272-EX272</f>
        <v>0</v>
      </c>
      <c r="FB272" s="192"/>
      <c r="FC272" s="201">
        <f>FD272</f>
        <v>0</v>
      </c>
      <c r="FD272" s="201">
        <v>0</v>
      </c>
      <c r="FE272" s="201"/>
      <c r="FF272" s="201"/>
      <c r="FG272" s="201">
        <f>FH272+FJ272</f>
        <v>0</v>
      </c>
      <c r="FH272" s="201"/>
      <c r="FI272" s="201"/>
      <c r="FJ272" s="201"/>
      <c r="FK272" s="201">
        <f>FL272+FN272</f>
        <v>0</v>
      </c>
      <c r="FL272" s="201"/>
      <c r="FM272" s="201"/>
      <c r="FN272" s="201"/>
      <c r="FO272" s="201">
        <f>FP272</f>
        <v>0</v>
      </c>
      <c r="FP272" s="201">
        <v>0</v>
      </c>
      <c r="FQ272" s="201"/>
      <c r="FR272" s="201"/>
      <c r="FS272" s="201">
        <f t="shared" si="603"/>
        <v>0</v>
      </c>
      <c r="FT272" s="574" t="e">
        <f t="shared" si="506"/>
        <v>#DIV/0!</v>
      </c>
      <c r="FU272" s="201"/>
      <c r="FV272" s="574" t="e">
        <f t="shared" si="507"/>
        <v>#DIV/0!</v>
      </c>
      <c r="FW272" s="192"/>
      <c r="FX272" s="192"/>
      <c r="FY272" s="192"/>
      <c r="FZ272" s="669"/>
      <c r="GA272" s="201">
        <f t="shared" si="604"/>
        <v>0</v>
      </c>
      <c r="GB272" s="574" t="e">
        <f t="shared" si="605"/>
        <v>#DIV/0!</v>
      </c>
      <c r="GC272" s="201"/>
      <c r="GD272" s="574" t="e">
        <f t="shared" si="606"/>
        <v>#DIV/0!</v>
      </c>
      <c r="GE272" s="192"/>
      <c r="GF272" s="192"/>
      <c r="GG272" s="201"/>
      <c r="GH272" s="192"/>
      <c r="GI272" s="201">
        <f t="shared" si="607"/>
        <v>0</v>
      </c>
      <c r="GJ272" s="574" t="e">
        <f t="shared" si="471"/>
        <v>#DIV/0!</v>
      </c>
      <c r="GK272" s="201"/>
      <c r="GL272" s="574" t="e">
        <f t="shared" si="472"/>
        <v>#DIV/0!</v>
      </c>
      <c r="GM272" s="201"/>
      <c r="GN272" s="574" t="e">
        <f t="shared" si="602"/>
        <v>#DIV/0!</v>
      </c>
      <c r="GO272" s="201"/>
      <c r="GP272" s="574" t="e">
        <f t="shared" si="608"/>
        <v>#DIV/0!</v>
      </c>
      <c r="GQ272" s="192"/>
      <c r="GR272" s="192"/>
      <c r="GS272" s="192"/>
      <c r="GT272" s="192"/>
      <c r="GU272" s="192">
        <f>GV272</f>
        <v>10000</v>
      </c>
      <c r="GV272" s="192">
        <v>10000</v>
      </c>
      <c r="GW272" s="192"/>
      <c r="GX272" s="192"/>
      <c r="GY272" s="192"/>
      <c r="GZ272" s="192"/>
      <c r="HA272" s="192"/>
      <c r="HB272" s="192"/>
      <c r="HC272" s="192"/>
      <c r="HD272" s="192"/>
      <c r="HE272" s="192"/>
      <c r="HF272" s="192"/>
      <c r="HG272" s="192">
        <f>HH272</f>
        <v>0</v>
      </c>
      <c r="HH272" s="192">
        <f>HP272-GV272</f>
        <v>0</v>
      </c>
      <c r="HI272" s="192"/>
      <c r="HJ272" s="192"/>
      <c r="HK272" s="192">
        <f>HL272</f>
        <v>0</v>
      </c>
      <c r="HL272" s="192">
        <f>IF272-GZ272</f>
        <v>0</v>
      </c>
      <c r="HM272" s="192"/>
      <c r="HN272" s="192"/>
      <c r="HO272" s="192">
        <f>HP272</f>
        <v>10000</v>
      </c>
      <c r="HP272" s="192">
        <v>10000</v>
      </c>
      <c r="HQ272" s="192"/>
      <c r="HR272" s="192"/>
      <c r="HS272" s="192">
        <f>HT272</f>
        <v>10000</v>
      </c>
      <c r="HT272" s="192">
        <v>10000</v>
      </c>
      <c r="HU272" s="192"/>
      <c r="HV272" s="192"/>
      <c r="HW272" s="192">
        <f>HX272</f>
        <v>0</v>
      </c>
      <c r="HX272" s="192">
        <f>IR272-HL272</f>
        <v>0</v>
      </c>
      <c r="HY272" s="192"/>
      <c r="HZ272" s="192"/>
      <c r="IA272" s="192">
        <f>IB272</f>
        <v>10000</v>
      </c>
      <c r="IB272" s="192">
        <v>10000</v>
      </c>
      <c r="IC272" s="192"/>
      <c r="ID272" s="192"/>
      <c r="IE272" s="196" t="s">
        <v>366</v>
      </c>
      <c r="IF272" s="290"/>
      <c r="IG272" s="290"/>
      <c r="IH272" s="290"/>
    </row>
    <row r="273" spans="2:249" s="283" customFormat="1" ht="123.75" customHeight="1" x14ac:dyDescent="0.3">
      <c r="B273" s="149" t="s">
        <v>99</v>
      </c>
      <c r="C273" s="107" t="s">
        <v>367</v>
      </c>
      <c r="D273" s="24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248"/>
      <c r="AN273" s="248"/>
      <c r="AO273" s="192"/>
      <c r="AP273" s="249"/>
      <c r="AQ273" s="249"/>
      <c r="AR273" s="192"/>
      <c r="AS273" s="192"/>
      <c r="AT273" s="192"/>
      <c r="AU273" s="192"/>
      <c r="AV273" s="192"/>
      <c r="AW273" s="192"/>
      <c r="AX273" s="192"/>
      <c r="AY273" s="192"/>
      <c r="AZ273" s="192"/>
      <c r="BA273" s="192"/>
      <c r="BB273" s="192"/>
      <c r="BC273" s="192"/>
      <c r="BD273" s="192"/>
      <c r="BE273" s="192"/>
      <c r="BF273" s="192"/>
      <c r="BG273" s="192"/>
      <c r="BH273" s="192"/>
      <c r="BI273" s="192"/>
      <c r="BJ273" s="192"/>
      <c r="BK273" s="192"/>
      <c r="BL273" s="153"/>
      <c r="BM273" s="153"/>
      <c r="BN273" s="153"/>
      <c r="BO273" s="153"/>
      <c r="BP273" s="153"/>
      <c r="BQ273" s="153"/>
      <c r="BR273" s="153"/>
      <c r="BS273" s="153"/>
      <c r="BT273" s="153"/>
      <c r="BU273" s="153"/>
      <c r="BV273" s="192"/>
      <c r="BW273" s="192"/>
      <c r="BX273" s="192"/>
      <c r="BY273" s="192"/>
      <c r="BZ273" s="192"/>
      <c r="CA273" s="192"/>
      <c r="CB273" s="192"/>
      <c r="CC273" s="192"/>
      <c r="CD273" s="192"/>
      <c r="CE273" s="192"/>
      <c r="CF273" s="153"/>
      <c r="CG273" s="242"/>
      <c r="CH273" s="192"/>
      <c r="CI273" s="192"/>
      <c r="CJ273" s="192"/>
      <c r="CK273" s="192"/>
      <c r="CL273" s="192"/>
      <c r="CM273" s="192"/>
      <c r="CN273" s="192"/>
      <c r="CO273" s="192"/>
      <c r="CP273" s="192"/>
      <c r="CQ273" s="192"/>
      <c r="CR273" s="192"/>
      <c r="CS273" s="192"/>
      <c r="CT273" s="192"/>
      <c r="CU273" s="192"/>
      <c r="CV273" s="192"/>
      <c r="CW273" s="192"/>
      <c r="CX273" s="192"/>
      <c r="CY273" s="192"/>
      <c r="CZ273" s="192"/>
      <c r="DA273" s="192"/>
      <c r="DB273" s="192"/>
      <c r="DC273" s="192"/>
      <c r="DD273" s="192"/>
      <c r="DE273" s="192"/>
      <c r="DF273" s="192"/>
      <c r="DG273" s="192"/>
      <c r="DH273" s="192"/>
      <c r="DI273" s="192"/>
      <c r="DJ273" s="192"/>
      <c r="DK273" s="192"/>
      <c r="DL273" s="192"/>
      <c r="DM273" s="192"/>
      <c r="DN273" s="192"/>
      <c r="DO273" s="192"/>
      <c r="DP273" s="192"/>
      <c r="DQ273" s="192"/>
      <c r="DR273" s="192"/>
      <c r="DS273" s="192"/>
      <c r="DT273" s="192"/>
      <c r="DU273" s="192"/>
      <c r="DV273" s="192"/>
      <c r="DW273" s="192"/>
      <c r="DX273" s="192"/>
      <c r="DY273" s="192"/>
      <c r="DZ273" s="192"/>
      <c r="EA273" s="192"/>
      <c r="EB273" s="192"/>
      <c r="EC273" s="192"/>
      <c r="ED273" s="192"/>
      <c r="EE273" s="192"/>
      <c r="EF273" s="192"/>
      <c r="EG273" s="192">
        <f>EH273</f>
        <v>9000</v>
      </c>
      <c r="EH273" s="192">
        <v>9000</v>
      </c>
      <c r="EI273" s="192"/>
      <c r="EJ273" s="192"/>
      <c r="EK273" s="192">
        <f>EL273+EN273</f>
        <v>0</v>
      </c>
      <c r="EL273" s="192">
        <v>0</v>
      </c>
      <c r="EM273" s="192"/>
      <c r="EN273" s="192"/>
      <c r="EO273" s="192"/>
      <c r="EP273" s="192"/>
      <c r="EQ273" s="192"/>
      <c r="ER273" s="192"/>
      <c r="ES273" s="192">
        <f t="shared" si="600"/>
        <v>0</v>
      </c>
      <c r="ET273" s="192">
        <v>0</v>
      </c>
      <c r="EU273" s="289"/>
      <c r="EV273" s="192"/>
      <c r="EW273" s="192"/>
      <c r="EX273" s="192"/>
      <c r="EY273" s="192"/>
      <c r="EZ273" s="192"/>
      <c r="FA273" s="192"/>
      <c r="FB273" s="192"/>
      <c r="FC273" s="201">
        <f>FD273</f>
        <v>9000</v>
      </c>
      <c r="FD273" s="201">
        <v>9000</v>
      </c>
      <c r="FE273" s="201"/>
      <c r="FF273" s="201"/>
      <c r="FG273" s="201">
        <f>FH273+FJ273</f>
        <v>0</v>
      </c>
      <c r="FH273" s="201">
        <f>FP273-FD273</f>
        <v>0</v>
      </c>
      <c r="FI273" s="201"/>
      <c r="FJ273" s="201"/>
      <c r="FK273" s="201"/>
      <c r="FL273" s="201"/>
      <c r="FM273" s="201"/>
      <c r="FN273" s="201"/>
      <c r="FO273" s="201">
        <f>FP273</f>
        <v>9000</v>
      </c>
      <c r="FP273" s="201">
        <f>EH273</f>
        <v>9000</v>
      </c>
      <c r="FQ273" s="201"/>
      <c r="FR273" s="201"/>
      <c r="FS273" s="201">
        <f t="shared" si="603"/>
        <v>0</v>
      </c>
      <c r="FT273" s="574">
        <f t="shared" si="506"/>
        <v>0</v>
      </c>
      <c r="FU273" s="201">
        <v>0</v>
      </c>
      <c r="FV273" s="574">
        <f t="shared" si="507"/>
        <v>0</v>
      </c>
      <c r="FW273" s="192"/>
      <c r="FX273" s="192"/>
      <c r="FY273" s="192"/>
      <c r="FZ273" s="669"/>
      <c r="GA273" s="201">
        <f t="shared" si="604"/>
        <v>0</v>
      </c>
      <c r="GB273" s="574">
        <f t="shared" si="605"/>
        <v>0</v>
      </c>
      <c r="GC273" s="201">
        <v>0</v>
      </c>
      <c r="GD273" s="574">
        <f t="shared" si="606"/>
        <v>0</v>
      </c>
      <c r="GE273" s="192"/>
      <c r="GF273" s="192"/>
      <c r="GG273" s="201"/>
      <c r="GH273" s="192"/>
      <c r="GI273" s="201">
        <f t="shared" si="607"/>
        <v>0</v>
      </c>
      <c r="GJ273" s="574">
        <f t="shared" si="471"/>
        <v>0</v>
      </c>
      <c r="GK273" s="201">
        <v>0</v>
      </c>
      <c r="GL273" s="574">
        <f t="shared" si="472"/>
        <v>0</v>
      </c>
      <c r="GM273" s="201">
        <v>0</v>
      </c>
      <c r="GN273" s="574">
        <v>0</v>
      </c>
      <c r="GO273" s="201">
        <v>0</v>
      </c>
      <c r="GP273" s="574">
        <v>0</v>
      </c>
      <c r="GQ273" s="192"/>
      <c r="GR273" s="192"/>
      <c r="GS273" s="192"/>
      <c r="GT273" s="192"/>
      <c r="GU273" s="192"/>
      <c r="GV273" s="192"/>
      <c r="GW273" s="192"/>
      <c r="GX273" s="192"/>
      <c r="GY273" s="192"/>
      <c r="GZ273" s="192"/>
      <c r="HA273" s="192"/>
      <c r="HB273" s="192"/>
      <c r="HC273" s="192"/>
      <c r="HD273" s="192"/>
      <c r="HE273" s="192"/>
      <c r="HF273" s="192"/>
      <c r="HG273" s="192"/>
      <c r="HH273" s="192"/>
      <c r="HI273" s="192"/>
      <c r="HJ273" s="192"/>
      <c r="HK273" s="192"/>
      <c r="HL273" s="192"/>
      <c r="HM273" s="192"/>
      <c r="HN273" s="192"/>
      <c r="HO273" s="192"/>
      <c r="HP273" s="192"/>
      <c r="HQ273" s="192"/>
      <c r="HR273" s="192"/>
      <c r="HS273" s="192"/>
      <c r="HT273" s="192"/>
      <c r="HU273" s="192"/>
      <c r="HV273" s="192"/>
      <c r="HW273" s="192"/>
      <c r="HX273" s="192"/>
      <c r="HY273" s="192"/>
      <c r="HZ273" s="192"/>
      <c r="IA273" s="192"/>
      <c r="IB273" s="192"/>
      <c r="IC273" s="192"/>
      <c r="ID273" s="192"/>
      <c r="IE273" s="196" t="s">
        <v>368</v>
      </c>
      <c r="IF273" s="290"/>
      <c r="IG273" s="290"/>
      <c r="IH273" s="290"/>
    </row>
    <row r="274" spans="2:249" s="283" customFormat="1" ht="138.75" customHeight="1" x14ac:dyDescent="0.3">
      <c r="B274" s="149" t="s">
        <v>114</v>
      </c>
      <c r="C274" s="107" t="s">
        <v>369</v>
      </c>
      <c r="D274" s="24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248"/>
      <c r="AN274" s="248"/>
      <c r="AO274" s="192"/>
      <c r="AP274" s="249"/>
      <c r="AQ274" s="249"/>
      <c r="AR274" s="192"/>
      <c r="AS274" s="192"/>
      <c r="AT274" s="192"/>
      <c r="AU274" s="192"/>
      <c r="AV274" s="192"/>
      <c r="AW274" s="192"/>
      <c r="AX274" s="192"/>
      <c r="AY274" s="192"/>
      <c r="AZ274" s="192"/>
      <c r="BA274" s="192"/>
      <c r="BB274" s="192"/>
      <c r="BC274" s="192"/>
      <c r="BD274" s="192"/>
      <c r="BE274" s="192"/>
      <c r="BF274" s="192"/>
      <c r="BG274" s="192"/>
      <c r="BH274" s="192"/>
      <c r="BI274" s="192"/>
      <c r="BJ274" s="192"/>
      <c r="BK274" s="192"/>
      <c r="BL274" s="153"/>
      <c r="BM274" s="153"/>
      <c r="BN274" s="153"/>
      <c r="BO274" s="153"/>
      <c r="BP274" s="153"/>
      <c r="BQ274" s="153"/>
      <c r="BR274" s="153"/>
      <c r="BS274" s="153"/>
      <c r="BT274" s="153"/>
      <c r="BU274" s="153"/>
      <c r="BV274" s="192"/>
      <c r="BW274" s="192"/>
      <c r="BX274" s="192"/>
      <c r="BY274" s="192"/>
      <c r="BZ274" s="192"/>
      <c r="CA274" s="192"/>
      <c r="CB274" s="192"/>
      <c r="CC274" s="192"/>
      <c r="CD274" s="192"/>
      <c r="CE274" s="192"/>
      <c r="CF274" s="153"/>
      <c r="CG274" s="242"/>
      <c r="CH274" s="192"/>
      <c r="CI274" s="192"/>
      <c r="CJ274" s="192"/>
      <c r="CK274" s="192"/>
      <c r="CL274" s="192"/>
      <c r="CM274" s="192"/>
      <c r="CN274" s="192"/>
      <c r="CO274" s="192"/>
      <c r="CP274" s="192"/>
      <c r="CQ274" s="192"/>
      <c r="CR274" s="192"/>
      <c r="CS274" s="192"/>
      <c r="CT274" s="192"/>
      <c r="CU274" s="192"/>
      <c r="CV274" s="192"/>
      <c r="CW274" s="192">
        <f t="shared" si="596"/>
        <v>122000</v>
      </c>
      <c r="CX274" s="192">
        <v>0</v>
      </c>
      <c r="CY274" s="192">
        <v>122000</v>
      </c>
      <c r="CZ274" s="192"/>
      <c r="DA274" s="192"/>
      <c r="DB274" s="192"/>
      <c r="DC274" s="192"/>
      <c r="DD274" s="192"/>
      <c r="DE274" s="192"/>
      <c r="DF274" s="192">
        <f t="shared" si="597"/>
        <v>23333.296000000002</v>
      </c>
      <c r="DG274" s="192"/>
      <c r="DH274" s="192">
        <f>DK274-CY274</f>
        <v>23333.296000000002</v>
      </c>
      <c r="DI274" s="192">
        <f t="shared" si="598"/>
        <v>145333.296</v>
      </c>
      <c r="DJ274" s="192">
        <v>0</v>
      </c>
      <c r="DK274" s="192">
        <f>145333.296</f>
        <v>145333.296</v>
      </c>
      <c r="DL274" s="192">
        <f>DM274+DN274</f>
        <v>0</v>
      </c>
      <c r="DM274" s="192"/>
      <c r="DN274" s="192"/>
      <c r="DO274" s="192"/>
      <c r="DP274" s="192"/>
      <c r="DQ274" s="192"/>
      <c r="DR274" s="192">
        <f>DS274+DT274</f>
        <v>145333.296</v>
      </c>
      <c r="DS274" s="192"/>
      <c r="DT274" s="192">
        <f>DK274-DN274-DQ274</f>
        <v>145333.296</v>
      </c>
      <c r="DU274" s="192">
        <f>DV274+DW274</f>
        <v>22000</v>
      </c>
      <c r="DV274" s="192">
        <v>0</v>
      </c>
      <c r="DW274" s="192">
        <v>22000</v>
      </c>
      <c r="DX274" s="192"/>
      <c r="DY274" s="192"/>
      <c r="DZ274" s="192"/>
      <c r="EA274" s="192"/>
      <c r="EB274" s="192"/>
      <c r="EC274" s="192"/>
      <c r="ED274" s="192">
        <f>EE274+EF274</f>
        <v>124607.51318000001</v>
      </c>
      <c r="EE274" s="192">
        <f>EH274-DV274</f>
        <v>0</v>
      </c>
      <c r="EF274" s="192">
        <f>EJ274-DW274</f>
        <v>124607.51318000001</v>
      </c>
      <c r="EG274" s="192">
        <f>EH274+EJ274</f>
        <v>146607.51318000001</v>
      </c>
      <c r="EH274" s="192"/>
      <c r="EI274" s="192"/>
      <c r="EJ274" s="192">
        <v>146607.51318000001</v>
      </c>
      <c r="EK274" s="192">
        <f>EN274</f>
        <v>-46607.513180000009</v>
      </c>
      <c r="EL274" s="192">
        <v>0</v>
      </c>
      <c r="EM274" s="192"/>
      <c r="EN274" s="192">
        <f>EV274-EJ274</f>
        <v>-46607.513180000009</v>
      </c>
      <c r="EO274" s="192"/>
      <c r="EP274" s="192"/>
      <c r="EQ274" s="192"/>
      <c r="ER274" s="192"/>
      <c r="ES274" s="192">
        <f t="shared" si="600"/>
        <v>100000</v>
      </c>
      <c r="ET274" s="192">
        <v>0</v>
      </c>
      <c r="EU274" s="192"/>
      <c r="EV274" s="192">
        <f>FR274-EJ274</f>
        <v>100000</v>
      </c>
      <c r="EW274" s="192">
        <f>EX274+EY274</f>
        <v>10000</v>
      </c>
      <c r="EX274" s="192"/>
      <c r="EY274" s="192">
        <v>10000</v>
      </c>
      <c r="EZ274" s="192">
        <f>FA274+FB274</f>
        <v>260607.51318000001</v>
      </c>
      <c r="FA274" s="192"/>
      <c r="FB274" s="192">
        <f>FF274-EY274</f>
        <v>260607.51318000001</v>
      </c>
      <c r="FC274" s="201">
        <f>FD274+FF274</f>
        <v>270607.51318000001</v>
      </c>
      <c r="FD274" s="201"/>
      <c r="FE274" s="201"/>
      <c r="FF274" s="201">
        <v>270607.51318000001</v>
      </c>
      <c r="FG274" s="201">
        <f>FJ274</f>
        <v>-24000</v>
      </c>
      <c r="FH274" s="201"/>
      <c r="FI274" s="201"/>
      <c r="FJ274" s="201">
        <f>FR274-FF274</f>
        <v>-24000</v>
      </c>
      <c r="FK274" s="201"/>
      <c r="FL274" s="201"/>
      <c r="FM274" s="201"/>
      <c r="FN274" s="201"/>
      <c r="FO274" s="201">
        <f>FP274+FR274</f>
        <v>246607.51318000001</v>
      </c>
      <c r="FP274" s="201"/>
      <c r="FQ274" s="201"/>
      <c r="FR274" s="201">
        <f>EJ274+100000</f>
        <v>246607.51318000001</v>
      </c>
      <c r="FS274" s="201">
        <f t="shared" si="603"/>
        <v>208895.63909000001</v>
      </c>
      <c r="FT274" s="574">
        <f t="shared" si="506"/>
        <v>0.77195062559496963</v>
      </c>
      <c r="FU274" s="201">
        <v>0</v>
      </c>
      <c r="FV274" s="574">
        <v>0</v>
      </c>
      <c r="FW274" s="192"/>
      <c r="FX274" s="192"/>
      <c r="FY274" s="201">
        <f>GG274</f>
        <v>208895.63909000001</v>
      </c>
      <c r="FZ274" s="574">
        <f>FY274/FF274</f>
        <v>0.77195062559496963</v>
      </c>
      <c r="GA274" s="201">
        <f t="shared" si="604"/>
        <v>208895.63909000001</v>
      </c>
      <c r="GB274" s="574">
        <f t="shared" si="605"/>
        <v>0.77195062559496963</v>
      </c>
      <c r="GC274" s="201"/>
      <c r="GD274" s="574"/>
      <c r="GE274" s="201"/>
      <c r="GF274" s="192"/>
      <c r="GG274" s="201">
        <v>208895.63909000001</v>
      </c>
      <c r="GH274" s="574">
        <f>GG274/FF274</f>
        <v>0.77195062559496963</v>
      </c>
      <c r="GI274" s="201">
        <f t="shared" si="607"/>
        <v>270527.51918</v>
      </c>
      <c r="GJ274" s="574">
        <f t="shared" si="471"/>
        <v>0.99970439106046993</v>
      </c>
      <c r="GK274" s="201">
        <v>0</v>
      </c>
      <c r="GL274" s="574">
        <v>0</v>
      </c>
      <c r="GM274" s="201">
        <v>0</v>
      </c>
      <c r="GN274" s="574">
        <v>0</v>
      </c>
      <c r="GO274" s="201">
        <v>270527.51918</v>
      </c>
      <c r="GP274" s="574">
        <f t="shared" si="608"/>
        <v>0.99970439106046993</v>
      </c>
      <c r="GQ274" s="192"/>
      <c r="GR274" s="192"/>
      <c r="GS274" s="192"/>
      <c r="GT274" s="192"/>
      <c r="GU274" s="192">
        <f>GV274+GX274</f>
        <v>100000</v>
      </c>
      <c r="GV274" s="192">
        <v>0</v>
      </c>
      <c r="GW274" s="192"/>
      <c r="GX274" s="192">
        <v>100000</v>
      </c>
      <c r="GY274" s="192"/>
      <c r="GZ274" s="192"/>
      <c r="HA274" s="192"/>
      <c r="HB274" s="192"/>
      <c r="HC274" s="192"/>
      <c r="HD274" s="192"/>
      <c r="HE274" s="192"/>
      <c r="HF274" s="192"/>
      <c r="HG274" s="192">
        <f>HH274+HJ274</f>
        <v>0</v>
      </c>
      <c r="HH274" s="192"/>
      <c r="HI274" s="192"/>
      <c r="HJ274" s="192">
        <f>HR274-GX274</f>
        <v>0</v>
      </c>
      <c r="HK274" s="192">
        <f>HL274+HN274</f>
        <v>0</v>
      </c>
      <c r="HL274" s="192"/>
      <c r="HM274" s="192"/>
      <c r="HN274" s="192">
        <f>HR274-GX274</f>
        <v>0</v>
      </c>
      <c r="HO274" s="192">
        <f>HP274+HR274</f>
        <v>100000</v>
      </c>
      <c r="HP274" s="192"/>
      <c r="HQ274" s="192"/>
      <c r="HR274" s="192">
        <v>100000</v>
      </c>
      <c r="HS274" s="192">
        <f>HT274+HV274</f>
        <v>100000</v>
      </c>
      <c r="HT274" s="192"/>
      <c r="HU274" s="192"/>
      <c r="HV274" s="192">
        <v>100000</v>
      </c>
      <c r="HW274" s="192">
        <f>HX274+HZ274</f>
        <v>0</v>
      </c>
      <c r="HX274" s="192"/>
      <c r="HY274" s="192"/>
      <c r="HZ274" s="192">
        <v>0</v>
      </c>
      <c r="IA274" s="192">
        <f>IB274+ID274</f>
        <v>100000</v>
      </c>
      <c r="IB274" s="192"/>
      <c r="IC274" s="192"/>
      <c r="ID274" s="192">
        <f>HV274</f>
        <v>100000</v>
      </c>
      <c r="IE274" s="196" t="s">
        <v>370</v>
      </c>
      <c r="IF274" s="290"/>
      <c r="IG274" s="290"/>
      <c r="IH274" s="290"/>
    </row>
    <row r="275" spans="2:249" s="283" customFormat="1" ht="141" hidden="1" customHeight="1" x14ac:dyDescent="0.3">
      <c r="B275" s="149" t="s">
        <v>469</v>
      </c>
      <c r="C275" s="107" t="s">
        <v>371</v>
      </c>
      <c r="D275" s="24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248"/>
      <c r="AN275" s="248"/>
      <c r="AO275" s="192"/>
      <c r="AP275" s="249"/>
      <c r="AQ275" s="249"/>
      <c r="AR275" s="192"/>
      <c r="AS275" s="192"/>
      <c r="AT275" s="192"/>
      <c r="AU275" s="192"/>
      <c r="AV275" s="192"/>
      <c r="AW275" s="192"/>
      <c r="AX275" s="192"/>
      <c r="AY275" s="192"/>
      <c r="AZ275" s="192"/>
      <c r="BA275" s="192"/>
      <c r="BB275" s="192"/>
      <c r="BC275" s="192"/>
      <c r="BD275" s="192"/>
      <c r="BE275" s="192"/>
      <c r="BF275" s="192"/>
      <c r="BG275" s="192"/>
      <c r="BH275" s="192"/>
      <c r="BI275" s="192"/>
      <c r="BJ275" s="192"/>
      <c r="BK275" s="192"/>
      <c r="BL275" s="153"/>
      <c r="BM275" s="153"/>
      <c r="BN275" s="153"/>
      <c r="BO275" s="153"/>
      <c r="BP275" s="153"/>
      <c r="BQ275" s="153"/>
      <c r="BR275" s="153"/>
      <c r="BS275" s="153"/>
      <c r="BT275" s="153"/>
      <c r="BU275" s="153"/>
      <c r="BV275" s="192"/>
      <c r="BW275" s="192"/>
      <c r="BX275" s="192"/>
      <c r="BY275" s="192"/>
      <c r="BZ275" s="192"/>
      <c r="CA275" s="192"/>
      <c r="CB275" s="192"/>
      <c r="CC275" s="192"/>
      <c r="CD275" s="192"/>
      <c r="CE275" s="192"/>
      <c r="CF275" s="153"/>
      <c r="CG275" s="242"/>
      <c r="CH275" s="192"/>
      <c r="CI275" s="192"/>
      <c r="CJ275" s="192"/>
      <c r="CK275" s="192"/>
      <c r="CL275" s="192"/>
      <c r="CM275" s="192"/>
      <c r="CN275" s="192"/>
      <c r="CO275" s="192"/>
      <c r="CP275" s="192"/>
      <c r="CQ275" s="192"/>
      <c r="CR275" s="192"/>
      <c r="CS275" s="192"/>
      <c r="CT275" s="192"/>
      <c r="CU275" s="192"/>
      <c r="CV275" s="192"/>
      <c r="CW275" s="192"/>
      <c r="CX275" s="192"/>
      <c r="CY275" s="192"/>
      <c r="CZ275" s="192"/>
      <c r="DA275" s="192"/>
      <c r="DB275" s="192"/>
      <c r="DC275" s="192"/>
      <c r="DD275" s="192"/>
      <c r="DE275" s="192"/>
      <c r="DF275" s="192"/>
      <c r="DG275" s="192"/>
      <c r="DH275" s="192"/>
      <c r="DI275" s="192"/>
      <c r="DJ275" s="192"/>
      <c r="DK275" s="192"/>
      <c r="DL275" s="192"/>
      <c r="DM275" s="192"/>
      <c r="DN275" s="192"/>
      <c r="DO275" s="192"/>
      <c r="DP275" s="192"/>
      <c r="DQ275" s="192"/>
      <c r="DR275" s="192"/>
      <c r="DS275" s="192"/>
      <c r="DT275" s="192"/>
      <c r="DU275" s="192"/>
      <c r="DV275" s="192"/>
      <c r="DW275" s="192"/>
      <c r="DX275" s="192"/>
      <c r="DY275" s="192"/>
      <c r="DZ275" s="192"/>
      <c r="EA275" s="192"/>
      <c r="EB275" s="192"/>
      <c r="EC275" s="192"/>
      <c r="ED275" s="192"/>
      <c r="EE275" s="192"/>
      <c r="EF275" s="192"/>
      <c r="EG275" s="192">
        <f>EH275+EJ275</f>
        <v>0</v>
      </c>
      <c r="EH275" s="192"/>
      <c r="EI275" s="192"/>
      <c r="EJ275" s="192">
        <v>0</v>
      </c>
      <c r="EK275" s="192">
        <f>EN275</f>
        <v>0</v>
      </c>
      <c r="EL275" s="192"/>
      <c r="EM275" s="192"/>
      <c r="EN275" s="192">
        <v>0</v>
      </c>
      <c r="EO275" s="192"/>
      <c r="EP275" s="192"/>
      <c r="EQ275" s="192"/>
      <c r="ER275" s="192"/>
      <c r="ES275" s="192">
        <f t="shared" si="600"/>
        <v>0</v>
      </c>
      <c r="ET275" s="192">
        <v>0</v>
      </c>
      <c r="EU275" s="192"/>
      <c r="EV275" s="192">
        <v>0</v>
      </c>
      <c r="EW275" s="192"/>
      <c r="EX275" s="192"/>
      <c r="EY275" s="192"/>
      <c r="EZ275" s="192"/>
      <c r="FA275" s="192"/>
      <c r="FB275" s="192"/>
      <c r="FC275" s="201">
        <f>FD275+FF275</f>
        <v>0</v>
      </c>
      <c r="FD275" s="201"/>
      <c r="FE275" s="201"/>
      <c r="FF275" s="201">
        <v>0</v>
      </c>
      <c r="FG275" s="201">
        <f>FJ275</f>
        <v>0</v>
      </c>
      <c r="FH275" s="201"/>
      <c r="FI275" s="201"/>
      <c r="FJ275" s="201">
        <v>0</v>
      </c>
      <c r="FK275" s="201"/>
      <c r="FL275" s="201"/>
      <c r="FM275" s="201"/>
      <c r="FN275" s="201"/>
      <c r="FO275" s="201">
        <f>FP275+FR275</f>
        <v>0</v>
      </c>
      <c r="FP275" s="201"/>
      <c r="FQ275" s="201"/>
      <c r="FR275" s="201">
        <v>0</v>
      </c>
      <c r="FS275" s="201">
        <f t="shared" si="603"/>
        <v>0</v>
      </c>
      <c r="FT275" s="574" t="e">
        <f t="shared" si="506"/>
        <v>#DIV/0!</v>
      </c>
      <c r="FU275" s="201"/>
      <c r="FV275" s="574" t="e">
        <f t="shared" si="507"/>
        <v>#DIV/0!</v>
      </c>
      <c r="FW275" s="192"/>
      <c r="FX275" s="192"/>
      <c r="FY275" s="192"/>
      <c r="FZ275" s="669"/>
      <c r="GA275" s="201">
        <f t="shared" si="604"/>
        <v>0</v>
      </c>
      <c r="GB275" s="574" t="e">
        <f t="shared" si="605"/>
        <v>#DIV/0!</v>
      </c>
      <c r="GC275" s="201"/>
      <c r="GD275" s="574" t="e">
        <f t="shared" si="606"/>
        <v>#DIV/0!</v>
      </c>
      <c r="GE275" s="201"/>
      <c r="GF275" s="192"/>
      <c r="GG275" s="201"/>
      <c r="GH275" s="192"/>
      <c r="GI275" s="201">
        <f t="shared" si="607"/>
        <v>0</v>
      </c>
      <c r="GJ275" s="574" t="e">
        <f t="shared" si="471"/>
        <v>#DIV/0!</v>
      </c>
      <c r="GK275" s="201"/>
      <c r="GL275" s="574" t="e">
        <f t="shared" si="472"/>
        <v>#DIV/0!</v>
      </c>
      <c r="GM275" s="201"/>
      <c r="GN275" s="574" t="e">
        <f t="shared" ref="GN275:GN278" si="609">GM275/FE275</f>
        <v>#DIV/0!</v>
      </c>
      <c r="GO275" s="201"/>
      <c r="GP275" s="574" t="e">
        <f t="shared" si="608"/>
        <v>#DIV/0!</v>
      </c>
      <c r="GQ275" s="192"/>
      <c r="GR275" s="192"/>
      <c r="GS275" s="192"/>
      <c r="GT275" s="192"/>
      <c r="GU275" s="192"/>
      <c r="GV275" s="192"/>
      <c r="GW275" s="192"/>
      <c r="GX275" s="192"/>
      <c r="GY275" s="192"/>
      <c r="GZ275" s="192"/>
      <c r="HA275" s="192"/>
      <c r="HB275" s="192"/>
      <c r="HC275" s="192"/>
      <c r="HD275" s="192"/>
      <c r="HE275" s="192"/>
      <c r="HF275" s="192"/>
      <c r="HG275" s="192"/>
      <c r="HH275" s="192"/>
      <c r="HI275" s="192"/>
      <c r="HJ275" s="192"/>
      <c r="HK275" s="192"/>
      <c r="HL275" s="192"/>
      <c r="HM275" s="192"/>
      <c r="HN275" s="192"/>
      <c r="HO275" s="192"/>
      <c r="HP275" s="192"/>
      <c r="HQ275" s="192"/>
      <c r="HR275" s="192"/>
      <c r="HS275" s="192"/>
      <c r="HT275" s="192"/>
      <c r="HU275" s="192"/>
      <c r="HV275" s="192"/>
      <c r="HW275" s="192"/>
      <c r="HX275" s="192"/>
      <c r="HY275" s="192"/>
      <c r="HZ275" s="192"/>
      <c r="IA275" s="192"/>
      <c r="IB275" s="192"/>
      <c r="IC275" s="192"/>
      <c r="ID275" s="192"/>
      <c r="IE275" s="196"/>
      <c r="IF275" s="290"/>
      <c r="IG275" s="290"/>
      <c r="IH275" s="290"/>
    </row>
    <row r="276" spans="2:249" s="283" customFormat="1" ht="42.75" customHeight="1" x14ac:dyDescent="0.3">
      <c r="B276" s="241" t="s">
        <v>469</v>
      </c>
      <c r="C276" s="291" t="s">
        <v>372</v>
      </c>
      <c r="D276" s="192" t="s">
        <v>373</v>
      </c>
      <c r="E276" s="192">
        <f>F276+G276</f>
        <v>102494.755</v>
      </c>
      <c r="F276" s="192">
        <v>102494.755</v>
      </c>
      <c r="G276" s="192"/>
      <c r="H276" s="192">
        <f>I276+J276</f>
        <v>0</v>
      </c>
      <c r="I276" s="192">
        <f>L276-F276</f>
        <v>0</v>
      </c>
      <c r="J276" s="192">
        <f>M276-G276</f>
        <v>0</v>
      </c>
      <c r="K276" s="192">
        <f>L276+M276</f>
        <v>102494.755</v>
      </c>
      <c r="L276" s="192">
        <v>102494.755</v>
      </c>
      <c r="M276" s="192"/>
      <c r="N276" s="192">
        <f>O276+P276</f>
        <v>0</v>
      </c>
      <c r="O276" s="192">
        <f>R276-L276</f>
        <v>0</v>
      </c>
      <c r="P276" s="192">
        <f>S276-M276</f>
        <v>0</v>
      </c>
      <c r="Q276" s="192">
        <f>R276+S276</f>
        <v>102494.755</v>
      </c>
      <c r="R276" s="192">
        <v>102494.755</v>
      </c>
      <c r="S276" s="192"/>
      <c r="T276" s="192">
        <f>U276+V276</f>
        <v>75000</v>
      </c>
      <c r="U276" s="192">
        <v>0</v>
      </c>
      <c r="V276" s="192">
        <v>75000</v>
      </c>
      <c r="W276" s="192">
        <f>X276+Y276</f>
        <v>14561.682860000001</v>
      </c>
      <c r="X276" s="192">
        <f>AA276-U276</f>
        <v>89561.682860000001</v>
      </c>
      <c r="Y276" s="192">
        <f>AB276-V276</f>
        <v>-75000</v>
      </c>
      <c r="Z276" s="192">
        <f>AA276+AB276</f>
        <v>89561.682860000001</v>
      </c>
      <c r="AA276" s="192">
        <v>89561.682860000001</v>
      </c>
      <c r="AB276" s="192"/>
      <c r="AC276" s="192">
        <f>AD276+AE276</f>
        <v>0</v>
      </c>
      <c r="AD276" s="192">
        <v>0</v>
      </c>
      <c r="AE276" s="192"/>
      <c r="AF276" s="192">
        <f>AG276+AH276</f>
        <v>89561.682860000001</v>
      </c>
      <c r="AG276" s="192">
        <f>AA276+AD276</f>
        <v>89561.682860000001</v>
      </c>
      <c r="AH276" s="192"/>
      <c r="AI276" s="192">
        <v>0</v>
      </c>
      <c r="AJ276" s="192">
        <v>84561.682860000001</v>
      </c>
      <c r="AK276" s="192">
        <f>Z276-AJ276</f>
        <v>5000</v>
      </c>
      <c r="AL276" s="192">
        <f>AF276-AJ276</f>
        <v>5000</v>
      </c>
      <c r="AM276" s="248" t="s">
        <v>374</v>
      </c>
      <c r="AN276" s="248" t="s">
        <v>375</v>
      </c>
      <c r="AO276" s="192">
        <v>1</v>
      </c>
      <c r="AP276" s="249">
        <v>88645.718429999994</v>
      </c>
      <c r="AQ276" s="249"/>
      <c r="AR276" s="192">
        <f>AF276-AP276-AQ276</f>
        <v>915.96443000000727</v>
      </c>
      <c r="AS276" s="192">
        <f>AT276+AU276</f>
        <v>20000</v>
      </c>
      <c r="AT276" s="192">
        <f>'[5]2018-2019 _с лимит75и50'!BQ156</f>
        <v>20000</v>
      </c>
      <c r="AU276" s="192"/>
      <c r="AV276" s="192">
        <f>AW276+AX276</f>
        <v>0</v>
      </c>
      <c r="AW276" s="192">
        <v>0</v>
      </c>
      <c r="AX276" s="192">
        <v>0</v>
      </c>
      <c r="AY276" s="192">
        <f>AZ276+BA276</f>
        <v>20000</v>
      </c>
      <c r="AZ276" s="192">
        <f>AT276+AW276</f>
        <v>20000</v>
      </c>
      <c r="BA276" s="192"/>
      <c r="BB276" s="192">
        <f>BC276+BD276</f>
        <v>20000</v>
      </c>
      <c r="BC276" s="192">
        <v>20000</v>
      </c>
      <c r="BD276" s="192"/>
      <c r="BE276" s="192">
        <f>BF276+BG276</f>
        <v>0</v>
      </c>
      <c r="BF276" s="192">
        <f>BW276-BC276</f>
        <v>0</v>
      </c>
      <c r="BG276" s="192">
        <f>BX276-BD276</f>
        <v>0</v>
      </c>
      <c r="BH276" s="192">
        <f>BI276+BJ276</f>
        <v>20000</v>
      </c>
      <c r="BI276" s="192">
        <f>BC276+BF276</f>
        <v>20000</v>
      </c>
      <c r="BJ276" s="192"/>
      <c r="BK276" s="192">
        <v>1</v>
      </c>
      <c r="BL276" s="153">
        <f>AY276</f>
        <v>20000</v>
      </c>
      <c r="BM276" s="153"/>
      <c r="BN276" s="153"/>
      <c r="BO276" s="153"/>
      <c r="BP276" s="153">
        <f>BQ276+BR276</f>
        <v>0</v>
      </c>
      <c r="BQ276" s="153"/>
      <c r="BR276" s="153"/>
      <c r="BS276" s="153">
        <f>BT276+BU276</f>
        <v>20000</v>
      </c>
      <c r="BT276" s="153">
        <f>AZ276-BN276-BQ276</f>
        <v>20000</v>
      </c>
      <c r="BU276" s="153"/>
      <c r="BV276" s="192">
        <f>BW276+BX276</f>
        <v>20000</v>
      </c>
      <c r="BW276" s="192">
        <v>20000</v>
      </c>
      <c r="BX276" s="192"/>
      <c r="BY276" s="192">
        <f>BZ276+CA276</f>
        <v>0</v>
      </c>
      <c r="BZ276" s="192">
        <v>0</v>
      </c>
      <c r="CA276" s="192">
        <v>0</v>
      </c>
      <c r="CB276" s="192">
        <f>CC276+CD276</f>
        <v>20000</v>
      </c>
      <c r="CC276" s="192">
        <f>BI276</f>
        <v>20000</v>
      </c>
      <c r="CD276" s="192"/>
      <c r="CE276" s="192">
        <v>1</v>
      </c>
      <c r="CF276" s="153">
        <f>BV276</f>
        <v>20000</v>
      </c>
      <c r="CG276" s="242"/>
      <c r="CH276" s="192">
        <f>CI276+CJ276</f>
        <v>21000</v>
      </c>
      <c r="CI276" s="192">
        <v>21000</v>
      </c>
      <c r="CJ276" s="192"/>
      <c r="CK276" s="192">
        <f>CL276+CM276</f>
        <v>0</v>
      </c>
      <c r="CL276" s="192">
        <v>0</v>
      </c>
      <c r="CM276" s="192">
        <v>0</v>
      </c>
      <c r="CN276" s="192"/>
      <c r="CO276" s="192"/>
      <c r="CP276" s="192"/>
      <c r="CQ276" s="192">
        <f>CR276+CS276</f>
        <v>21000</v>
      </c>
      <c r="CR276" s="192">
        <v>21000</v>
      </c>
      <c r="CS276" s="192"/>
      <c r="CT276" s="192">
        <f>CU276+CV276</f>
        <v>0</v>
      </c>
      <c r="CU276" s="192">
        <f>CA276</f>
        <v>0</v>
      </c>
      <c r="CV276" s="192"/>
      <c r="CW276" s="192">
        <f t="shared" si="596"/>
        <v>122161.69921000001</v>
      </c>
      <c r="CX276" s="192">
        <v>122161.69921000001</v>
      </c>
      <c r="CY276" s="192"/>
      <c r="CZ276" s="192">
        <f>DA276+DB276</f>
        <v>21000</v>
      </c>
      <c r="DA276" s="192">
        <v>21000</v>
      </c>
      <c r="DB276" s="192"/>
      <c r="DC276" s="192"/>
      <c r="DD276" s="192"/>
      <c r="DE276" s="192"/>
      <c r="DF276" s="192">
        <f t="shared" si="597"/>
        <v>0</v>
      </c>
      <c r="DG276" s="192">
        <f>DJ276-CX276</f>
        <v>0</v>
      </c>
      <c r="DH276" s="192"/>
      <c r="DI276" s="192">
        <f t="shared" si="598"/>
        <v>122161.69921000001</v>
      </c>
      <c r="DJ276" s="192">
        <f>20000+102161.69921</f>
        <v>122161.69921000001</v>
      </c>
      <c r="DK276" s="192"/>
      <c r="DL276" s="192">
        <f>DM276+DN276</f>
        <v>20661.699209999999</v>
      </c>
      <c r="DM276" s="192">
        <f>18500+2161.69921</f>
        <v>20661.699209999999</v>
      </c>
      <c r="DN276" s="192"/>
      <c r="DO276" s="192">
        <f>DP276+DQ276</f>
        <v>0</v>
      </c>
      <c r="DP276" s="192">
        <v>0</v>
      </c>
      <c r="DQ276" s="192"/>
      <c r="DR276" s="192">
        <f>DS276+DT276</f>
        <v>101500</v>
      </c>
      <c r="DS276" s="192">
        <f>DJ276-DM276-DP276</f>
        <v>101500</v>
      </c>
      <c r="DT276" s="192"/>
      <c r="DU276" s="192">
        <f>DV276+DW276</f>
        <v>71000</v>
      </c>
      <c r="DV276" s="192">
        <v>71000</v>
      </c>
      <c r="DW276" s="192"/>
      <c r="DX276" s="192">
        <f>DY276+DZ276</f>
        <v>0</v>
      </c>
      <c r="DY276" s="192">
        <v>0</v>
      </c>
      <c r="DZ276" s="192"/>
      <c r="EA276" s="192"/>
      <c r="EB276" s="192"/>
      <c r="EC276" s="192"/>
      <c r="ED276" s="192">
        <f>EE276</f>
        <v>-61000</v>
      </c>
      <c r="EE276" s="192">
        <f>EH276-DV276</f>
        <v>-61000</v>
      </c>
      <c r="EF276" s="192"/>
      <c r="EG276" s="192">
        <f>EH276</f>
        <v>10000</v>
      </c>
      <c r="EH276" s="192">
        <v>10000</v>
      </c>
      <c r="EI276" s="192"/>
      <c r="EJ276" s="192"/>
      <c r="EK276" s="192">
        <f>EL276+EN276</f>
        <v>-10000</v>
      </c>
      <c r="EL276" s="192">
        <f>ET276-EH276</f>
        <v>-10000</v>
      </c>
      <c r="EM276" s="192"/>
      <c r="EN276" s="192"/>
      <c r="EO276" s="192">
        <f>EP276+ER276</f>
        <v>10000</v>
      </c>
      <c r="EP276" s="192">
        <f>EX276-EL276</f>
        <v>10000</v>
      </c>
      <c r="EQ276" s="192"/>
      <c r="ER276" s="192"/>
      <c r="ES276" s="192">
        <f t="shared" si="600"/>
        <v>0</v>
      </c>
      <c r="ET276" s="192"/>
      <c r="EU276" s="192"/>
      <c r="EV276" s="192"/>
      <c r="EW276" s="192">
        <f>EX276+EY276</f>
        <v>0</v>
      </c>
      <c r="EX276" s="192">
        <v>0</v>
      </c>
      <c r="EY276" s="192"/>
      <c r="EZ276" s="192"/>
      <c r="FA276" s="192"/>
      <c r="FB276" s="192"/>
      <c r="FC276" s="201">
        <f>FD276</f>
        <v>59375.118589999998</v>
      </c>
      <c r="FD276" s="201">
        <v>59375.118589999998</v>
      </c>
      <c r="FE276" s="201"/>
      <c r="FF276" s="201"/>
      <c r="FG276" s="201">
        <f>FH276+FJ276</f>
        <v>0</v>
      </c>
      <c r="FH276" s="201">
        <f>FP276-FD276</f>
        <v>0</v>
      </c>
      <c r="FI276" s="201"/>
      <c r="FJ276" s="201"/>
      <c r="FK276" s="201">
        <f>FL276+FN276</f>
        <v>0</v>
      </c>
      <c r="FL276" s="201"/>
      <c r="FM276" s="201"/>
      <c r="FN276" s="201"/>
      <c r="FO276" s="201">
        <f>FP276</f>
        <v>59375.118589999998</v>
      </c>
      <c r="FP276" s="201">
        <f>10000+49375.11859</f>
        <v>59375.118589999998</v>
      </c>
      <c r="FQ276" s="201"/>
      <c r="FR276" s="201"/>
      <c r="FS276" s="201">
        <f t="shared" si="603"/>
        <v>34.276000000000003</v>
      </c>
      <c r="FT276" s="574">
        <f t="shared" si="506"/>
        <v>5.7727884699792066E-4</v>
      </c>
      <c r="FU276" s="201">
        <v>34.276000000000003</v>
      </c>
      <c r="FV276" s="574">
        <f t="shared" si="507"/>
        <v>5.7727884699792066E-4</v>
      </c>
      <c r="FW276" s="192"/>
      <c r="FX276" s="192"/>
      <c r="FY276" s="192"/>
      <c r="FZ276" s="669"/>
      <c r="GA276" s="201">
        <f t="shared" si="604"/>
        <v>34.276000000000003</v>
      </c>
      <c r="GB276" s="574">
        <f t="shared" si="605"/>
        <v>5.7727884699792066E-4</v>
      </c>
      <c r="GC276" s="201">
        <v>34.276000000000003</v>
      </c>
      <c r="GD276" s="574">
        <f t="shared" si="606"/>
        <v>5.7727884699792066E-4</v>
      </c>
      <c r="GE276" s="201"/>
      <c r="GF276" s="192"/>
      <c r="GG276" s="201"/>
      <c r="GH276" s="192"/>
      <c r="GI276" s="201">
        <f t="shared" si="607"/>
        <v>57378.732060000002</v>
      </c>
      <c r="GJ276" s="574">
        <f t="shared" si="471"/>
        <v>0.96637671507175349</v>
      </c>
      <c r="GK276" s="201">
        <v>57378.732060000002</v>
      </c>
      <c r="GL276" s="574">
        <f t="shared" si="472"/>
        <v>0.96637671507175349</v>
      </c>
      <c r="GM276" s="201">
        <v>0</v>
      </c>
      <c r="GN276" s="574">
        <v>0</v>
      </c>
      <c r="GO276" s="201">
        <v>0</v>
      </c>
      <c r="GP276" s="574">
        <v>0</v>
      </c>
      <c r="GQ276" s="192"/>
      <c r="GR276" s="192"/>
      <c r="GS276" s="192"/>
      <c r="GT276" s="192"/>
      <c r="GU276" s="192">
        <f>GV276</f>
        <v>30000</v>
      </c>
      <c r="GV276" s="192">
        <v>30000</v>
      </c>
      <c r="GW276" s="192"/>
      <c r="GX276" s="192"/>
      <c r="GY276" s="192"/>
      <c r="GZ276" s="192"/>
      <c r="HA276" s="192"/>
      <c r="HB276" s="192"/>
      <c r="HC276" s="192"/>
      <c r="HD276" s="192"/>
      <c r="HE276" s="192"/>
      <c r="HF276" s="192"/>
      <c r="HG276" s="192">
        <f>HH276</f>
        <v>0</v>
      </c>
      <c r="HH276" s="192">
        <f>HP276-GV276</f>
        <v>0</v>
      </c>
      <c r="HI276" s="192"/>
      <c r="HJ276" s="192"/>
      <c r="HK276" s="192">
        <f>HL276</f>
        <v>0</v>
      </c>
      <c r="HL276" s="192">
        <f>IF276-GZ276</f>
        <v>0</v>
      </c>
      <c r="HM276" s="192"/>
      <c r="HN276" s="192"/>
      <c r="HO276" s="192">
        <f>HP276</f>
        <v>30000</v>
      </c>
      <c r="HP276" s="192">
        <v>30000</v>
      </c>
      <c r="HQ276" s="192"/>
      <c r="HR276" s="192"/>
      <c r="HS276" s="192">
        <f>HT276</f>
        <v>0</v>
      </c>
      <c r="HT276" s="192">
        <v>0</v>
      </c>
      <c r="HU276" s="192"/>
      <c r="HV276" s="192"/>
      <c r="HW276" s="192">
        <f>HX276</f>
        <v>0</v>
      </c>
      <c r="HX276" s="192">
        <f>IR276-HL276</f>
        <v>0</v>
      </c>
      <c r="HY276" s="192"/>
      <c r="HZ276" s="192"/>
      <c r="IA276" s="192">
        <f>IB276</f>
        <v>0</v>
      </c>
      <c r="IB276" s="192">
        <v>0</v>
      </c>
      <c r="IC276" s="192"/>
      <c r="ID276" s="192"/>
      <c r="IE276" s="196" t="s">
        <v>376</v>
      </c>
      <c r="IF276" s="290"/>
      <c r="IG276" s="290"/>
      <c r="IH276" s="290"/>
    </row>
    <row r="277" spans="2:249" s="283" customFormat="1" ht="42.75" hidden="1" customHeight="1" x14ac:dyDescent="0.3">
      <c r="B277" s="292" t="s">
        <v>85</v>
      </c>
      <c r="C277" s="260" t="s">
        <v>377</v>
      </c>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248"/>
      <c r="AN277" s="248"/>
      <c r="AO277" s="192"/>
      <c r="AP277" s="249"/>
      <c r="AQ277" s="249"/>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53"/>
      <c r="BM277" s="153"/>
      <c r="BN277" s="153"/>
      <c r="BO277" s="153"/>
      <c r="BP277" s="153"/>
      <c r="BQ277" s="153"/>
      <c r="BR277" s="153"/>
      <c r="BS277" s="153"/>
      <c r="BT277" s="153"/>
      <c r="BU277" s="153"/>
      <c r="BV277" s="192"/>
      <c r="BW277" s="192"/>
      <c r="BX277" s="192"/>
      <c r="BY277" s="192"/>
      <c r="BZ277" s="192"/>
      <c r="CA277" s="192"/>
      <c r="CB277" s="192"/>
      <c r="CC277" s="192"/>
      <c r="CD277" s="192"/>
      <c r="CE277" s="192"/>
      <c r="CF277" s="153"/>
      <c r="CG277" s="242"/>
      <c r="CH277" s="192"/>
      <c r="CI277" s="192"/>
      <c r="CJ277" s="192"/>
      <c r="CK277" s="192"/>
      <c r="CL277" s="192"/>
      <c r="CM277" s="192"/>
      <c r="CN277" s="192"/>
      <c r="CO277" s="192"/>
      <c r="CP277" s="192"/>
      <c r="CQ277" s="192"/>
      <c r="CR277" s="192"/>
      <c r="CS277" s="192"/>
      <c r="CT277" s="192"/>
      <c r="CU277" s="192"/>
      <c r="CV277" s="192"/>
      <c r="CW277" s="136">
        <f t="shared" si="596"/>
        <v>0</v>
      </c>
      <c r="CX277" s="136">
        <v>0</v>
      </c>
      <c r="CY277" s="136"/>
      <c r="CZ277" s="136"/>
      <c r="DA277" s="136"/>
      <c r="DB277" s="136"/>
      <c r="DC277" s="136"/>
      <c r="DD277" s="136"/>
      <c r="DE277" s="136"/>
      <c r="DF277" s="136">
        <f t="shared" si="597"/>
        <v>4000</v>
      </c>
      <c r="DG277" s="136">
        <f>DJ277-CX277</f>
        <v>4000</v>
      </c>
      <c r="DH277" s="136"/>
      <c r="DI277" s="136">
        <f>DJ277</f>
        <v>4000</v>
      </c>
      <c r="DJ277" s="136">
        <f>DJ278</f>
        <v>4000</v>
      </c>
      <c r="DK277" s="136"/>
      <c r="DL277" s="136"/>
      <c r="DM277" s="136"/>
      <c r="DN277" s="136"/>
      <c r="DO277" s="136"/>
      <c r="DP277" s="136"/>
      <c r="DQ277" s="136"/>
      <c r="DR277" s="136"/>
      <c r="DS277" s="136"/>
      <c r="DT277" s="136"/>
      <c r="DU277" s="136">
        <f>DV277+DW277</f>
        <v>0</v>
      </c>
      <c r="DV277" s="136">
        <f>DW277+DX277</f>
        <v>0</v>
      </c>
      <c r="DW277" s="136">
        <f>DX277+DY277</f>
        <v>0</v>
      </c>
      <c r="DX277" s="136">
        <f>DY277+DZ277</f>
        <v>0</v>
      </c>
      <c r="DY277" s="136">
        <f t="shared" ref="DY277:EF277" si="610">DZ277+EA277</f>
        <v>0</v>
      </c>
      <c r="DZ277" s="136">
        <f t="shared" si="610"/>
        <v>0</v>
      </c>
      <c r="EA277" s="136">
        <f t="shared" si="610"/>
        <v>0</v>
      </c>
      <c r="EB277" s="136">
        <f t="shared" si="610"/>
        <v>0</v>
      </c>
      <c r="EC277" s="136">
        <f t="shared" si="610"/>
        <v>0</v>
      </c>
      <c r="ED277" s="136">
        <f t="shared" si="610"/>
        <v>0</v>
      </c>
      <c r="EE277" s="136">
        <f t="shared" si="610"/>
        <v>0</v>
      </c>
      <c r="EF277" s="136">
        <f t="shared" si="610"/>
        <v>0</v>
      </c>
      <c r="EG277" s="136">
        <f>EH277+EJ277</f>
        <v>0</v>
      </c>
      <c r="EH277" s="136"/>
      <c r="EI277" s="136"/>
      <c r="EJ277" s="136"/>
      <c r="EK277" s="136">
        <f>EL277</f>
        <v>0</v>
      </c>
      <c r="EL277" s="136">
        <f>EL278</f>
        <v>0</v>
      </c>
      <c r="EM277" s="136"/>
      <c r="EN277" s="136">
        <f>EN278</f>
        <v>0</v>
      </c>
      <c r="EO277" s="136">
        <f>EP277</f>
        <v>0</v>
      </c>
      <c r="EP277" s="136">
        <f>EP278</f>
        <v>0</v>
      </c>
      <c r="EQ277" s="136"/>
      <c r="ER277" s="136">
        <f>ER278</f>
        <v>0</v>
      </c>
      <c r="ES277" s="134">
        <f>ET277</f>
        <v>0</v>
      </c>
      <c r="ET277" s="136">
        <f>ET278</f>
        <v>0</v>
      </c>
      <c r="EU277" s="136"/>
      <c r="EV277" s="136">
        <f>EV278</f>
        <v>0</v>
      </c>
      <c r="EW277" s="136">
        <f>EX277+EY277</f>
        <v>0</v>
      </c>
      <c r="EX277" s="136">
        <f>EY277+EZ277</f>
        <v>0</v>
      </c>
      <c r="EY277" s="136">
        <f>EZ277+FA277</f>
        <v>0</v>
      </c>
      <c r="EZ277" s="136">
        <f>FA277+FB277</f>
        <v>0</v>
      </c>
      <c r="FA277" s="136">
        <f>FB277+FC277</f>
        <v>0</v>
      </c>
      <c r="FB277" s="136">
        <f>FC277+FD277</f>
        <v>0</v>
      </c>
      <c r="FC277" s="134">
        <f>FD277</f>
        <v>0</v>
      </c>
      <c r="FD277" s="134">
        <f>FD278</f>
        <v>0</v>
      </c>
      <c r="FE277" s="134"/>
      <c r="FF277" s="134">
        <f>FF278</f>
        <v>0</v>
      </c>
      <c r="FG277" s="134">
        <f>FH277+FJ277</f>
        <v>0</v>
      </c>
      <c r="FH277" s="134">
        <f>FJ277+FO277</f>
        <v>0</v>
      </c>
      <c r="FI277" s="134"/>
      <c r="FJ277" s="134">
        <f>FO277+FP277</f>
        <v>0</v>
      </c>
      <c r="FK277" s="134">
        <f>FL277</f>
        <v>0</v>
      </c>
      <c r="FL277" s="134">
        <f>FL278</f>
        <v>0</v>
      </c>
      <c r="FM277" s="134"/>
      <c r="FN277" s="134">
        <f>FN278</f>
        <v>0</v>
      </c>
      <c r="FO277" s="134">
        <f>FP277+FR277</f>
        <v>0</v>
      </c>
      <c r="FP277" s="134"/>
      <c r="FQ277" s="134"/>
      <c r="FR277" s="134"/>
      <c r="FS277" s="134"/>
      <c r="FT277" s="585" t="e">
        <f t="shared" si="506"/>
        <v>#DIV/0!</v>
      </c>
      <c r="FU277" s="134"/>
      <c r="FV277" s="585" t="e">
        <f t="shared" si="507"/>
        <v>#DIV/0!</v>
      </c>
      <c r="FW277" s="136"/>
      <c r="FX277" s="136"/>
      <c r="FY277" s="136"/>
      <c r="FZ277" s="136"/>
      <c r="GA277" s="134"/>
      <c r="GB277" s="585"/>
      <c r="GC277" s="134"/>
      <c r="GD277" s="585"/>
      <c r="GE277" s="134"/>
      <c r="GF277" s="136"/>
      <c r="GG277" s="134"/>
      <c r="GH277" s="136"/>
      <c r="GI277" s="134"/>
      <c r="GJ277" s="585" t="e">
        <f t="shared" si="471"/>
        <v>#DIV/0!</v>
      </c>
      <c r="GK277" s="134"/>
      <c r="GL277" s="585" t="e">
        <f t="shared" si="472"/>
        <v>#DIV/0!</v>
      </c>
      <c r="GM277" s="134"/>
      <c r="GN277" s="578" t="e">
        <f t="shared" si="609"/>
        <v>#DIV/0!</v>
      </c>
      <c r="GO277" s="134"/>
      <c r="GP277" s="578"/>
      <c r="GQ277" s="136"/>
      <c r="GR277" s="136"/>
      <c r="GS277" s="136"/>
      <c r="GT277" s="136"/>
      <c r="GU277" s="136">
        <f>GV277</f>
        <v>0</v>
      </c>
      <c r="GV277" s="136">
        <f>GV278</f>
        <v>0</v>
      </c>
      <c r="GW277" s="136"/>
      <c r="GX277" s="136">
        <f>GX278</f>
        <v>0</v>
      </c>
      <c r="GY277" s="136"/>
      <c r="GZ277" s="136"/>
      <c r="HA277" s="136"/>
      <c r="HB277" s="136"/>
      <c r="HC277" s="136"/>
      <c r="HD277" s="136"/>
      <c r="HE277" s="136"/>
      <c r="HF277" s="136"/>
      <c r="HG277" s="136">
        <f>HH277</f>
        <v>0</v>
      </c>
      <c r="HH277" s="136">
        <f>HH278</f>
        <v>0</v>
      </c>
      <c r="HI277" s="136"/>
      <c r="HJ277" s="136">
        <f>HJ278</f>
        <v>0</v>
      </c>
      <c r="HK277" s="136">
        <f>HL277</f>
        <v>0</v>
      </c>
      <c r="HL277" s="136">
        <f>HL278</f>
        <v>0</v>
      </c>
      <c r="HM277" s="136"/>
      <c r="HN277" s="136">
        <f>HN278</f>
        <v>0</v>
      </c>
      <c r="HO277" s="136">
        <f>HP277</f>
        <v>0</v>
      </c>
      <c r="HP277" s="136">
        <f>HP278</f>
        <v>0</v>
      </c>
      <c r="HQ277" s="136"/>
      <c r="HR277" s="136">
        <f>HR278</f>
        <v>0</v>
      </c>
      <c r="HS277" s="136">
        <f>HT277</f>
        <v>0</v>
      </c>
      <c r="HT277" s="136">
        <f>HT278</f>
        <v>0</v>
      </c>
      <c r="HU277" s="136"/>
      <c r="HV277" s="136">
        <f>HV278</f>
        <v>0</v>
      </c>
      <c r="HW277" s="136">
        <f>HX277</f>
        <v>0</v>
      </c>
      <c r="HX277" s="136">
        <f>HX278</f>
        <v>0</v>
      </c>
      <c r="HY277" s="136"/>
      <c r="HZ277" s="136">
        <f>HZ278</f>
        <v>0</v>
      </c>
      <c r="IA277" s="136">
        <f>IB277</f>
        <v>0</v>
      </c>
      <c r="IB277" s="136">
        <f>IB278</f>
        <v>0</v>
      </c>
      <c r="IC277" s="136"/>
      <c r="ID277" s="136">
        <f>ID278</f>
        <v>0</v>
      </c>
      <c r="IE277" s="196"/>
      <c r="IF277" s="290"/>
      <c r="IG277" s="290"/>
      <c r="IH277" s="290"/>
    </row>
    <row r="278" spans="2:249" s="283" customFormat="1" ht="63" hidden="1" customHeight="1" x14ac:dyDescent="0.3">
      <c r="B278" s="293" t="s">
        <v>91</v>
      </c>
      <c r="C278" s="291" t="s">
        <v>309</v>
      </c>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248"/>
      <c r="AN278" s="248"/>
      <c r="AO278" s="192"/>
      <c r="AP278" s="249"/>
      <c r="AQ278" s="249"/>
      <c r="AR278" s="192"/>
      <c r="AS278" s="192"/>
      <c r="AT278" s="192"/>
      <c r="AU278" s="192"/>
      <c r="AV278" s="192"/>
      <c r="AW278" s="192"/>
      <c r="AX278" s="192"/>
      <c r="AY278" s="192"/>
      <c r="AZ278" s="192"/>
      <c r="BA278" s="192"/>
      <c r="BB278" s="192"/>
      <c r="BC278" s="192"/>
      <c r="BD278" s="192"/>
      <c r="BE278" s="192"/>
      <c r="BF278" s="192"/>
      <c r="BG278" s="192"/>
      <c r="BH278" s="192"/>
      <c r="BI278" s="192"/>
      <c r="BJ278" s="192"/>
      <c r="BK278" s="192"/>
      <c r="BL278" s="153"/>
      <c r="BM278" s="153"/>
      <c r="BN278" s="153"/>
      <c r="BO278" s="153"/>
      <c r="BP278" s="153"/>
      <c r="BQ278" s="153"/>
      <c r="BR278" s="153"/>
      <c r="BS278" s="153"/>
      <c r="BT278" s="153"/>
      <c r="BU278" s="153"/>
      <c r="BV278" s="192"/>
      <c r="BW278" s="192"/>
      <c r="BX278" s="192"/>
      <c r="BY278" s="192"/>
      <c r="BZ278" s="192"/>
      <c r="CA278" s="192"/>
      <c r="CB278" s="192"/>
      <c r="CC278" s="192"/>
      <c r="CD278" s="192"/>
      <c r="CE278" s="192"/>
      <c r="CF278" s="153"/>
      <c r="CG278" s="242"/>
      <c r="CH278" s="192"/>
      <c r="CI278" s="192"/>
      <c r="CJ278" s="192"/>
      <c r="CK278" s="192"/>
      <c r="CL278" s="192"/>
      <c r="CM278" s="192"/>
      <c r="CN278" s="192"/>
      <c r="CO278" s="192"/>
      <c r="CP278" s="192"/>
      <c r="CQ278" s="192"/>
      <c r="CR278" s="192"/>
      <c r="CS278" s="192"/>
      <c r="CT278" s="192"/>
      <c r="CU278" s="192"/>
      <c r="CV278" s="192"/>
      <c r="CW278" s="192">
        <f t="shared" si="596"/>
        <v>0</v>
      </c>
      <c r="CX278" s="192">
        <v>0</v>
      </c>
      <c r="CY278" s="192"/>
      <c r="CZ278" s="192"/>
      <c r="DA278" s="192"/>
      <c r="DB278" s="192"/>
      <c r="DC278" s="192"/>
      <c r="DD278" s="192"/>
      <c r="DE278" s="192"/>
      <c r="DF278" s="192">
        <f t="shared" si="597"/>
        <v>4000</v>
      </c>
      <c r="DG278" s="192">
        <f>DJ278-CX278</f>
        <v>4000</v>
      </c>
      <c r="DH278" s="192"/>
      <c r="DI278" s="192">
        <f>DJ278</f>
        <v>4000</v>
      </c>
      <c r="DJ278" s="192">
        <v>4000</v>
      </c>
      <c r="DK278" s="192"/>
      <c r="DL278" s="192"/>
      <c r="DM278" s="192"/>
      <c r="DN278" s="192"/>
      <c r="DO278" s="192"/>
      <c r="DP278" s="192"/>
      <c r="DQ278" s="192"/>
      <c r="DR278" s="192"/>
      <c r="DS278" s="192"/>
      <c r="DT278" s="192"/>
      <c r="DU278" s="192">
        <v>0</v>
      </c>
      <c r="DV278" s="192">
        <v>0</v>
      </c>
      <c r="DW278" s="192">
        <v>0</v>
      </c>
      <c r="DX278" s="192">
        <v>0</v>
      </c>
      <c r="DY278" s="192">
        <v>0</v>
      </c>
      <c r="DZ278" s="192">
        <v>0</v>
      </c>
      <c r="EA278" s="192">
        <v>0</v>
      </c>
      <c r="EB278" s="192">
        <v>0</v>
      </c>
      <c r="EC278" s="192">
        <v>0</v>
      </c>
      <c r="ED278" s="192">
        <v>0</v>
      </c>
      <c r="EE278" s="192">
        <v>0</v>
      </c>
      <c r="EF278" s="192">
        <v>0</v>
      </c>
      <c r="EG278" s="192">
        <v>0</v>
      </c>
      <c r="EH278" s="192"/>
      <c r="EI278" s="192"/>
      <c r="EJ278" s="192"/>
      <c r="EK278" s="192">
        <v>0</v>
      </c>
      <c r="EL278" s="192">
        <v>0</v>
      </c>
      <c r="EM278" s="192"/>
      <c r="EN278" s="192">
        <v>0</v>
      </c>
      <c r="EO278" s="192">
        <v>0</v>
      </c>
      <c r="EP278" s="192">
        <v>0</v>
      </c>
      <c r="EQ278" s="192"/>
      <c r="ER278" s="192">
        <v>0</v>
      </c>
      <c r="ES278" s="201">
        <v>0</v>
      </c>
      <c r="ET278" s="192">
        <v>0</v>
      </c>
      <c r="EU278" s="192"/>
      <c r="EV278" s="192">
        <v>0</v>
      </c>
      <c r="EW278" s="192">
        <v>0</v>
      </c>
      <c r="EX278" s="192">
        <v>0</v>
      </c>
      <c r="EY278" s="192">
        <v>0</v>
      </c>
      <c r="EZ278" s="192">
        <v>0</v>
      </c>
      <c r="FA278" s="192">
        <v>0</v>
      </c>
      <c r="FB278" s="192">
        <v>0</v>
      </c>
      <c r="FC278" s="201">
        <v>0</v>
      </c>
      <c r="FD278" s="201"/>
      <c r="FE278" s="201"/>
      <c r="FF278" s="201"/>
      <c r="FG278" s="201">
        <v>0</v>
      </c>
      <c r="FH278" s="201">
        <v>0</v>
      </c>
      <c r="FI278" s="201"/>
      <c r="FJ278" s="201">
        <v>0</v>
      </c>
      <c r="FK278" s="201">
        <v>0</v>
      </c>
      <c r="FL278" s="201">
        <v>0</v>
      </c>
      <c r="FM278" s="201"/>
      <c r="FN278" s="201">
        <v>0</v>
      </c>
      <c r="FO278" s="201">
        <v>0</v>
      </c>
      <c r="FP278" s="201"/>
      <c r="FQ278" s="201"/>
      <c r="FR278" s="201"/>
      <c r="FS278" s="201"/>
      <c r="FT278" s="582" t="e">
        <f t="shared" si="506"/>
        <v>#DIV/0!</v>
      </c>
      <c r="FU278" s="201"/>
      <c r="FV278" s="582" t="e">
        <f t="shared" si="507"/>
        <v>#DIV/0!</v>
      </c>
      <c r="FW278" s="192"/>
      <c r="FX278" s="192"/>
      <c r="FY278" s="192"/>
      <c r="FZ278" s="192"/>
      <c r="GA278" s="201"/>
      <c r="GB278" s="582"/>
      <c r="GC278" s="201"/>
      <c r="GD278" s="582"/>
      <c r="GE278" s="201"/>
      <c r="GF278" s="192"/>
      <c r="GG278" s="201"/>
      <c r="GH278" s="192"/>
      <c r="GI278" s="201"/>
      <c r="GJ278" s="582" t="e">
        <f t="shared" ref="GJ278:GJ288" si="611">GI278/FC278</f>
        <v>#DIV/0!</v>
      </c>
      <c r="GK278" s="201"/>
      <c r="GL278" s="582" t="e">
        <f t="shared" ref="GL278:GL287" si="612">GK278/FD278</f>
        <v>#DIV/0!</v>
      </c>
      <c r="GM278" s="201"/>
      <c r="GN278" s="578" t="e">
        <f t="shared" si="609"/>
        <v>#DIV/0!</v>
      </c>
      <c r="GO278" s="201"/>
      <c r="GP278" s="578"/>
      <c r="GQ278" s="192"/>
      <c r="GR278" s="192"/>
      <c r="GS278" s="192"/>
      <c r="GT278" s="192"/>
      <c r="GU278" s="192">
        <v>0</v>
      </c>
      <c r="GV278" s="192"/>
      <c r="GW278" s="192"/>
      <c r="GX278" s="192"/>
      <c r="GY278" s="192"/>
      <c r="GZ278" s="192"/>
      <c r="HA278" s="192"/>
      <c r="HB278" s="192"/>
      <c r="HC278" s="192"/>
      <c r="HD278" s="192"/>
      <c r="HE278" s="192"/>
      <c r="HF278" s="192"/>
      <c r="HG278" s="192">
        <v>0</v>
      </c>
      <c r="HH278" s="192"/>
      <c r="HI278" s="192"/>
      <c r="HJ278" s="192"/>
      <c r="HK278" s="192">
        <v>0</v>
      </c>
      <c r="HL278" s="192"/>
      <c r="HM278" s="192"/>
      <c r="HN278" s="192"/>
      <c r="HO278" s="192">
        <v>0</v>
      </c>
      <c r="HP278" s="192"/>
      <c r="HQ278" s="192"/>
      <c r="HR278" s="192"/>
      <c r="HS278" s="192">
        <v>0</v>
      </c>
      <c r="HT278" s="192"/>
      <c r="HU278" s="192"/>
      <c r="HV278" s="192"/>
      <c r="HW278" s="192">
        <v>0</v>
      </c>
      <c r="HX278" s="192"/>
      <c r="HY278" s="192"/>
      <c r="HZ278" s="192"/>
      <c r="IA278" s="192">
        <v>0</v>
      </c>
      <c r="IB278" s="192"/>
      <c r="IC278" s="192"/>
      <c r="ID278" s="192"/>
      <c r="IE278" s="196"/>
      <c r="IF278" s="290"/>
      <c r="IG278" s="290"/>
      <c r="IH278" s="290"/>
    </row>
    <row r="279" spans="2:249" s="300" customFormat="1" ht="86.25" customHeight="1" x14ac:dyDescent="0.3">
      <c r="B279" s="131" t="s">
        <v>102</v>
      </c>
      <c r="C279" s="294" t="s">
        <v>378</v>
      </c>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c r="AB279" s="264"/>
      <c r="AC279" s="264"/>
      <c r="AD279" s="264"/>
      <c r="AE279" s="264"/>
      <c r="AF279" s="264"/>
      <c r="AG279" s="264"/>
      <c r="AH279" s="264"/>
      <c r="AI279" s="264"/>
      <c r="AJ279" s="264"/>
      <c r="AK279" s="264"/>
      <c r="AL279" s="264"/>
      <c r="AM279" s="295"/>
      <c r="AN279" s="295"/>
      <c r="AO279" s="264"/>
      <c r="AP279" s="296"/>
      <c r="AQ279" s="296"/>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136"/>
      <c r="BM279" s="136"/>
      <c r="BN279" s="136"/>
      <c r="BO279" s="136"/>
      <c r="BP279" s="136"/>
      <c r="BQ279" s="136"/>
      <c r="BR279" s="136"/>
      <c r="BS279" s="136"/>
      <c r="BT279" s="136"/>
      <c r="BU279" s="136"/>
      <c r="BV279" s="264"/>
      <c r="BW279" s="264"/>
      <c r="BX279" s="264"/>
      <c r="BY279" s="264"/>
      <c r="BZ279" s="264"/>
      <c r="CA279" s="264"/>
      <c r="CB279" s="264"/>
      <c r="CC279" s="264"/>
      <c r="CD279" s="264"/>
      <c r="CE279" s="264"/>
      <c r="CF279" s="136"/>
      <c r="CG279" s="297"/>
      <c r="CH279" s="264"/>
      <c r="CI279" s="264"/>
      <c r="CJ279" s="264"/>
      <c r="CK279" s="264"/>
      <c r="CL279" s="264"/>
      <c r="CM279" s="264"/>
      <c r="CN279" s="264"/>
      <c r="CO279" s="264"/>
      <c r="CP279" s="264"/>
      <c r="CQ279" s="264"/>
      <c r="CR279" s="264"/>
      <c r="CS279" s="264"/>
      <c r="CT279" s="264"/>
      <c r="CU279" s="264"/>
      <c r="CV279" s="264"/>
      <c r="CW279" s="264"/>
      <c r="CX279" s="264"/>
      <c r="CY279" s="264"/>
      <c r="CZ279" s="264"/>
      <c r="DA279" s="264"/>
      <c r="DB279" s="264"/>
      <c r="DC279" s="264"/>
      <c r="DD279" s="264"/>
      <c r="DE279" s="264"/>
      <c r="DF279" s="264"/>
      <c r="DG279" s="264"/>
      <c r="DH279" s="264"/>
      <c r="DI279" s="264"/>
      <c r="DJ279" s="264"/>
      <c r="DK279" s="264"/>
      <c r="DL279" s="264"/>
      <c r="DM279" s="264"/>
      <c r="DN279" s="264"/>
      <c r="DO279" s="264"/>
      <c r="DP279" s="264"/>
      <c r="DQ279" s="264"/>
      <c r="DR279" s="264"/>
      <c r="DS279" s="264"/>
      <c r="DT279" s="264"/>
      <c r="DU279" s="264"/>
      <c r="DV279" s="264"/>
      <c r="DW279" s="264"/>
      <c r="DX279" s="264"/>
      <c r="DY279" s="264"/>
      <c r="DZ279" s="264"/>
      <c r="EA279" s="264"/>
      <c r="EB279" s="264"/>
      <c r="EC279" s="264"/>
      <c r="ED279" s="264"/>
      <c r="EE279" s="264"/>
      <c r="EF279" s="264"/>
      <c r="EG279" s="264">
        <f>EH279+EI279+EJ279</f>
        <v>82473.150320000001</v>
      </c>
      <c r="EH279" s="264">
        <f>SUM(EH280:EH282)</f>
        <v>82473.150320000001</v>
      </c>
      <c r="EI279" s="264">
        <f>EI280+EI281</f>
        <v>0</v>
      </c>
      <c r="EJ279" s="264">
        <f>EJ280+EJ281</f>
        <v>0</v>
      </c>
      <c r="EK279" s="264">
        <f>EL279</f>
        <v>-82473.150320000001</v>
      </c>
      <c r="EL279" s="264">
        <f>SUM(EL280:EL282)</f>
        <v>-82473.150320000001</v>
      </c>
      <c r="EM279" s="264">
        <f>EM280</f>
        <v>0</v>
      </c>
      <c r="EN279" s="264">
        <f>EN280</f>
        <v>0</v>
      </c>
      <c r="EO279" s="264">
        <f>EP279</f>
        <v>0</v>
      </c>
      <c r="EP279" s="264">
        <f>EP280</f>
        <v>0</v>
      </c>
      <c r="EQ279" s="264">
        <f>EQ280</f>
        <v>0</v>
      </c>
      <c r="ER279" s="264">
        <f>ER280</f>
        <v>0</v>
      </c>
      <c r="ES279" s="264">
        <f>ET279+EU279+EV279</f>
        <v>0</v>
      </c>
      <c r="ET279" s="264">
        <f>SUM(ET280:ET282)</f>
        <v>0</v>
      </c>
      <c r="EU279" s="264">
        <f>EU280+EU281</f>
        <v>0</v>
      </c>
      <c r="EV279" s="264">
        <f>EV280+EV281</f>
        <v>0</v>
      </c>
      <c r="EW279" s="264"/>
      <c r="EX279" s="264"/>
      <c r="EY279" s="264"/>
      <c r="EZ279" s="264"/>
      <c r="FA279" s="264"/>
      <c r="FB279" s="264"/>
      <c r="FC279" s="343">
        <f>FD279+FE279+FF279</f>
        <v>82473.150320000001</v>
      </c>
      <c r="FD279" s="343">
        <f>SUM(FD280:FD282)</f>
        <v>82473.150320000001</v>
      </c>
      <c r="FE279" s="343">
        <f>FE280+FE281</f>
        <v>0</v>
      </c>
      <c r="FF279" s="343">
        <f>FF280+FF281</f>
        <v>0</v>
      </c>
      <c r="FG279" s="343">
        <f>FH279</f>
        <v>0</v>
      </c>
      <c r="FH279" s="343">
        <f>SUM(FH280:FH282)</f>
        <v>0</v>
      </c>
      <c r="FI279" s="343">
        <f>FI280+FI281</f>
        <v>0</v>
      </c>
      <c r="FJ279" s="343">
        <f>FJ280+FJ281</f>
        <v>0</v>
      </c>
      <c r="FK279" s="343">
        <f>FL279</f>
        <v>0</v>
      </c>
      <c r="FL279" s="343">
        <f>FL280</f>
        <v>0</v>
      </c>
      <c r="FM279" s="343">
        <f>FM280</f>
        <v>0</v>
      </c>
      <c r="FN279" s="343">
        <f>FN280</f>
        <v>0</v>
      </c>
      <c r="FO279" s="343">
        <f>FP279+FQ279+FR279</f>
        <v>82473.150320000001</v>
      </c>
      <c r="FP279" s="343">
        <f>SUM(FP280:FP282)</f>
        <v>82473.150320000001</v>
      </c>
      <c r="FQ279" s="343">
        <f>FQ280+FQ281</f>
        <v>0</v>
      </c>
      <c r="FR279" s="343">
        <f>FR280+FR281</f>
        <v>0</v>
      </c>
      <c r="FS279" s="343"/>
      <c r="FT279" s="588">
        <f t="shared" si="506"/>
        <v>0</v>
      </c>
      <c r="FU279" s="343"/>
      <c r="FV279" s="588">
        <f t="shared" si="507"/>
        <v>0</v>
      </c>
      <c r="FW279" s="264"/>
      <c r="FX279" s="264"/>
      <c r="FY279" s="264"/>
      <c r="FZ279" s="264"/>
      <c r="GA279" s="343"/>
      <c r="GB279" s="588"/>
      <c r="GC279" s="343"/>
      <c r="GD279" s="588"/>
      <c r="GE279" s="343"/>
      <c r="GF279" s="264"/>
      <c r="GG279" s="343"/>
      <c r="GH279" s="264"/>
      <c r="GI279" s="343"/>
      <c r="GJ279" s="588">
        <f t="shared" si="611"/>
        <v>0</v>
      </c>
      <c r="GK279" s="343"/>
      <c r="GL279" s="588">
        <f t="shared" si="612"/>
        <v>0</v>
      </c>
      <c r="GM279" s="343"/>
      <c r="GN279" s="588"/>
      <c r="GO279" s="343"/>
      <c r="GP279" s="588"/>
      <c r="GQ279" s="264"/>
      <c r="GR279" s="264"/>
      <c r="GS279" s="264"/>
      <c r="GT279" s="264"/>
      <c r="GU279" s="264">
        <f t="shared" ref="GU279:GU284" si="613">GV279</f>
        <v>701809.72661999997</v>
      </c>
      <c r="GV279" s="264">
        <f>SUM(GV280:GV282)</f>
        <v>701809.72661999997</v>
      </c>
      <c r="GW279" s="264">
        <f>GW280+GW281</f>
        <v>0</v>
      </c>
      <c r="GX279" s="264">
        <f>GX280+GX281</f>
        <v>0</v>
      </c>
      <c r="GY279" s="264"/>
      <c r="GZ279" s="264"/>
      <c r="HA279" s="264"/>
      <c r="HB279" s="264"/>
      <c r="HC279" s="264"/>
      <c r="HD279" s="264"/>
      <c r="HE279" s="264"/>
      <c r="HF279" s="264"/>
      <c r="HG279" s="264">
        <f>HH279</f>
        <v>0</v>
      </c>
      <c r="HH279" s="264">
        <f>SUM(HH280:HH282)</f>
        <v>0</v>
      </c>
      <c r="HI279" s="264">
        <f>HI280+HI281</f>
        <v>0</v>
      </c>
      <c r="HJ279" s="264">
        <f>HJ280+HJ281</f>
        <v>0</v>
      </c>
      <c r="HK279" s="264">
        <f>HL279</f>
        <v>0</v>
      </c>
      <c r="HL279" s="264">
        <f>HL280+HL281</f>
        <v>0</v>
      </c>
      <c r="HM279" s="264">
        <f>HM280+HM281</f>
        <v>0</v>
      </c>
      <c r="HN279" s="264">
        <f>HN280+HN281</f>
        <v>0</v>
      </c>
      <c r="HO279" s="264">
        <f t="shared" ref="HO279:HO284" si="614">HP279</f>
        <v>701809.72661999997</v>
      </c>
      <c r="HP279" s="264">
        <f>SUM(HP280:HP282)</f>
        <v>701809.72661999997</v>
      </c>
      <c r="HQ279" s="264">
        <f>HQ280+HQ281</f>
        <v>0</v>
      </c>
      <c r="HR279" s="264">
        <f>HR280+HR281</f>
        <v>0</v>
      </c>
      <c r="HS279" s="264">
        <f>HT279</f>
        <v>0</v>
      </c>
      <c r="HT279" s="264">
        <f>SUM(HT280:HT282)</f>
        <v>0</v>
      </c>
      <c r="HU279" s="264">
        <f>HU280+HU281</f>
        <v>0</v>
      </c>
      <c r="HV279" s="264">
        <f>HV280+HV281</f>
        <v>0</v>
      </c>
      <c r="HW279" s="264">
        <f>HX279</f>
        <v>0</v>
      </c>
      <c r="HX279" s="264">
        <f>HX280+HX281+HX282</f>
        <v>0</v>
      </c>
      <c r="HY279" s="264">
        <f>HY280+HY281</f>
        <v>0</v>
      </c>
      <c r="HZ279" s="264">
        <f>HZ280+HZ281</f>
        <v>0</v>
      </c>
      <c r="IA279" s="264">
        <f>IB279</f>
        <v>0</v>
      </c>
      <c r="IB279" s="264">
        <f>SUM(IB280:IB282)</f>
        <v>0</v>
      </c>
      <c r="IC279" s="264">
        <f>IC280+IC281</f>
        <v>0</v>
      </c>
      <c r="ID279" s="264">
        <f>ID280+ID281</f>
        <v>0</v>
      </c>
      <c r="IE279" s="298" t="s">
        <v>379</v>
      </c>
      <c r="IF279" s="299"/>
      <c r="IG279" s="299"/>
      <c r="IH279" s="299"/>
    </row>
    <row r="280" spans="2:249" s="283" customFormat="1" ht="70.5" hidden="1" customHeight="1" x14ac:dyDescent="0.3">
      <c r="B280" s="241" t="s">
        <v>103</v>
      </c>
      <c r="C280" s="301" t="s">
        <v>380</v>
      </c>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2"/>
      <c r="AL280" s="192"/>
      <c r="AM280" s="248"/>
      <c r="AN280" s="248"/>
      <c r="AO280" s="192"/>
      <c r="AP280" s="249"/>
      <c r="AQ280" s="249"/>
      <c r="AR280" s="192"/>
      <c r="AS280" s="192"/>
      <c r="AT280" s="192"/>
      <c r="AU280" s="192"/>
      <c r="AV280" s="192"/>
      <c r="AW280" s="192"/>
      <c r="AX280" s="192"/>
      <c r="AY280" s="192"/>
      <c r="AZ280" s="192"/>
      <c r="BA280" s="192"/>
      <c r="BB280" s="192"/>
      <c r="BC280" s="192"/>
      <c r="BD280" s="192"/>
      <c r="BE280" s="192"/>
      <c r="BF280" s="192"/>
      <c r="BG280" s="192"/>
      <c r="BH280" s="192"/>
      <c r="BI280" s="192"/>
      <c r="BJ280" s="192"/>
      <c r="BK280" s="192"/>
      <c r="BL280" s="153"/>
      <c r="BM280" s="153"/>
      <c r="BN280" s="153"/>
      <c r="BO280" s="153"/>
      <c r="BP280" s="153"/>
      <c r="BQ280" s="153"/>
      <c r="BR280" s="153"/>
      <c r="BS280" s="153"/>
      <c r="BT280" s="153"/>
      <c r="BU280" s="153"/>
      <c r="BV280" s="192"/>
      <c r="BW280" s="192"/>
      <c r="BX280" s="192"/>
      <c r="BY280" s="192"/>
      <c r="BZ280" s="192"/>
      <c r="CA280" s="192"/>
      <c r="CB280" s="192"/>
      <c r="CC280" s="192"/>
      <c r="CD280" s="192"/>
      <c r="CE280" s="192"/>
      <c r="CF280" s="153"/>
      <c r="CG280" s="242"/>
      <c r="CH280" s="192"/>
      <c r="CI280" s="192"/>
      <c r="CJ280" s="192"/>
      <c r="CK280" s="192"/>
      <c r="CL280" s="192"/>
      <c r="CM280" s="192"/>
      <c r="CN280" s="192"/>
      <c r="CO280" s="192"/>
      <c r="CP280" s="192"/>
      <c r="CQ280" s="192"/>
      <c r="CR280" s="192"/>
      <c r="CS280" s="192"/>
      <c r="CT280" s="192"/>
      <c r="CU280" s="192"/>
      <c r="CV280" s="192"/>
      <c r="CW280" s="192"/>
      <c r="CX280" s="192"/>
      <c r="CY280" s="192"/>
      <c r="CZ280" s="192"/>
      <c r="DA280" s="192"/>
      <c r="DB280" s="192"/>
      <c r="DC280" s="192"/>
      <c r="DD280" s="192"/>
      <c r="DE280" s="192"/>
      <c r="DF280" s="192"/>
      <c r="DG280" s="192"/>
      <c r="DH280" s="192"/>
      <c r="DI280" s="192"/>
      <c r="DJ280" s="192"/>
      <c r="DK280" s="192"/>
      <c r="DL280" s="192"/>
      <c r="DM280" s="192"/>
      <c r="DN280" s="192"/>
      <c r="DO280" s="192"/>
      <c r="DP280" s="192"/>
      <c r="DQ280" s="192"/>
      <c r="DR280" s="192"/>
      <c r="DS280" s="192"/>
      <c r="DT280" s="192"/>
      <c r="DU280" s="192"/>
      <c r="DV280" s="192"/>
      <c r="DW280" s="192"/>
      <c r="DX280" s="192"/>
      <c r="DY280" s="192"/>
      <c r="DZ280" s="192"/>
      <c r="EA280" s="192"/>
      <c r="EB280" s="192"/>
      <c r="EC280" s="192"/>
      <c r="ED280" s="192"/>
      <c r="EE280" s="192"/>
      <c r="EF280" s="192"/>
      <c r="EG280" s="192">
        <f>EH280</f>
        <v>0</v>
      </c>
      <c r="EH280" s="192">
        <v>0</v>
      </c>
      <c r="EI280" s="192">
        <v>0</v>
      </c>
      <c r="EJ280" s="192">
        <v>0</v>
      </c>
      <c r="EK280" s="192">
        <f>EL280</f>
        <v>7000</v>
      </c>
      <c r="EL280" s="192">
        <f>ET280-EH280</f>
        <v>7000</v>
      </c>
      <c r="EM280" s="192">
        <v>0</v>
      </c>
      <c r="EN280" s="192">
        <v>0</v>
      </c>
      <c r="EO280" s="192">
        <f>EP280</f>
        <v>0</v>
      </c>
      <c r="EP280" s="192">
        <f>EX280</f>
        <v>0</v>
      </c>
      <c r="EQ280" s="192">
        <v>0</v>
      </c>
      <c r="ER280" s="192">
        <v>0</v>
      </c>
      <c r="ES280" s="192">
        <f>ET280</f>
        <v>7000</v>
      </c>
      <c r="ET280" s="192">
        <f>FP280-EH280</f>
        <v>7000</v>
      </c>
      <c r="EU280" s="192">
        <v>0</v>
      </c>
      <c r="EV280" s="192">
        <v>0</v>
      </c>
      <c r="EW280" s="192"/>
      <c r="EX280" s="192"/>
      <c r="EY280" s="192"/>
      <c r="EZ280" s="192"/>
      <c r="FA280" s="192"/>
      <c r="FB280" s="192"/>
      <c r="FC280" s="201">
        <f>FD280+FE280+FF280</f>
        <v>7000</v>
      </c>
      <c r="FD280" s="201">
        <v>7000</v>
      </c>
      <c r="FE280" s="201">
        <v>0</v>
      </c>
      <c r="FF280" s="201">
        <v>0</v>
      </c>
      <c r="FG280" s="201">
        <f>FH280</f>
        <v>0</v>
      </c>
      <c r="FH280" s="201">
        <v>0</v>
      </c>
      <c r="FI280" s="201">
        <v>0</v>
      </c>
      <c r="FJ280" s="201">
        <v>0</v>
      </c>
      <c r="FK280" s="201">
        <f>FL280</f>
        <v>0</v>
      </c>
      <c r="FL280" s="201">
        <f>GV280</f>
        <v>0</v>
      </c>
      <c r="FM280" s="201">
        <v>0</v>
      </c>
      <c r="FN280" s="201">
        <v>0</v>
      </c>
      <c r="FO280" s="201">
        <f>FP280</f>
        <v>7000</v>
      </c>
      <c r="FP280" s="201">
        <v>7000</v>
      </c>
      <c r="FQ280" s="201">
        <v>0</v>
      </c>
      <c r="FR280" s="201">
        <v>0</v>
      </c>
      <c r="FS280" s="201"/>
      <c r="FT280" s="582">
        <f t="shared" si="506"/>
        <v>0</v>
      </c>
      <c r="FU280" s="201"/>
      <c r="FV280" s="582">
        <f t="shared" si="507"/>
        <v>0</v>
      </c>
      <c r="FW280" s="192"/>
      <c r="FX280" s="192"/>
      <c r="FY280" s="192"/>
      <c r="FZ280" s="192"/>
      <c r="GA280" s="201"/>
      <c r="GB280" s="582"/>
      <c r="GC280" s="201"/>
      <c r="GD280" s="582"/>
      <c r="GE280" s="192"/>
      <c r="GF280" s="192"/>
      <c r="GG280" s="192"/>
      <c r="GH280" s="192"/>
      <c r="GI280" s="201"/>
      <c r="GJ280" s="582">
        <f t="shared" si="611"/>
        <v>0</v>
      </c>
      <c r="GK280" s="201"/>
      <c r="GL280" s="582">
        <f t="shared" si="612"/>
        <v>0</v>
      </c>
      <c r="GM280" s="201"/>
      <c r="GN280" s="582"/>
      <c r="GO280" s="201"/>
      <c r="GP280" s="582"/>
      <c r="GQ280" s="192"/>
      <c r="GR280" s="192"/>
      <c r="GS280" s="192"/>
      <c r="GT280" s="192"/>
      <c r="GU280" s="192">
        <f t="shared" si="613"/>
        <v>0</v>
      </c>
      <c r="GV280" s="192">
        <v>0</v>
      </c>
      <c r="GW280" s="192">
        <v>0</v>
      </c>
      <c r="GX280" s="192">
        <v>0</v>
      </c>
      <c r="GY280" s="192"/>
      <c r="GZ280" s="192"/>
      <c r="HA280" s="192"/>
      <c r="HB280" s="192"/>
      <c r="HC280" s="192"/>
      <c r="HD280" s="192"/>
      <c r="HE280" s="192"/>
      <c r="HF280" s="192"/>
      <c r="HG280" s="192">
        <f>HH280</f>
        <v>0</v>
      </c>
      <c r="HH280" s="192">
        <v>0</v>
      </c>
      <c r="HI280" s="192">
        <v>0</v>
      </c>
      <c r="HJ280" s="192">
        <v>0</v>
      </c>
      <c r="HK280" s="192">
        <f>HL280</f>
        <v>0</v>
      </c>
      <c r="HL280" s="192">
        <v>0</v>
      </c>
      <c r="HM280" s="192">
        <v>0</v>
      </c>
      <c r="HN280" s="192">
        <v>0</v>
      </c>
      <c r="HO280" s="192">
        <f t="shared" si="614"/>
        <v>0</v>
      </c>
      <c r="HP280" s="192">
        <v>0</v>
      </c>
      <c r="HQ280" s="192">
        <v>0</v>
      </c>
      <c r="HR280" s="192">
        <v>0</v>
      </c>
      <c r="HS280" s="192">
        <f>HT280</f>
        <v>0</v>
      </c>
      <c r="HT280" s="192">
        <v>0</v>
      </c>
      <c r="HU280" s="192">
        <v>0</v>
      </c>
      <c r="HV280" s="192">
        <v>0</v>
      </c>
      <c r="HW280" s="192">
        <f>HX280</f>
        <v>0</v>
      </c>
      <c r="HX280" s="192">
        <v>0</v>
      </c>
      <c r="HY280" s="192">
        <v>0</v>
      </c>
      <c r="HZ280" s="192">
        <v>0</v>
      </c>
      <c r="IA280" s="192">
        <f>IB280</f>
        <v>0</v>
      </c>
      <c r="IB280" s="192">
        <v>0</v>
      </c>
      <c r="IC280" s="192">
        <v>0</v>
      </c>
      <c r="ID280" s="192">
        <v>0</v>
      </c>
      <c r="IE280" s="302" t="s">
        <v>381</v>
      </c>
      <c r="IF280" s="290"/>
      <c r="IG280" s="290"/>
      <c r="IH280" s="290"/>
    </row>
    <row r="281" spans="2:249" s="283" customFormat="1" ht="100.5" hidden="1" customHeight="1" x14ac:dyDescent="0.3">
      <c r="B281" s="241" t="s">
        <v>104</v>
      </c>
      <c r="C281" s="301" t="s">
        <v>382</v>
      </c>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2"/>
      <c r="AL281" s="192"/>
      <c r="AM281" s="248"/>
      <c r="AN281" s="248"/>
      <c r="AO281" s="192"/>
      <c r="AP281" s="249"/>
      <c r="AQ281" s="249"/>
      <c r="AR281" s="192"/>
      <c r="AS281" s="192"/>
      <c r="AT281" s="192"/>
      <c r="AU281" s="192"/>
      <c r="AV281" s="192"/>
      <c r="AW281" s="192"/>
      <c r="AX281" s="192"/>
      <c r="AY281" s="192"/>
      <c r="AZ281" s="192"/>
      <c r="BA281" s="192"/>
      <c r="BB281" s="192"/>
      <c r="BC281" s="192"/>
      <c r="BD281" s="192"/>
      <c r="BE281" s="192"/>
      <c r="BF281" s="192"/>
      <c r="BG281" s="192"/>
      <c r="BH281" s="192"/>
      <c r="BI281" s="192"/>
      <c r="BJ281" s="192"/>
      <c r="BK281" s="192"/>
      <c r="BL281" s="153"/>
      <c r="BM281" s="153"/>
      <c r="BN281" s="153"/>
      <c r="BO281" s="153"/>
      <c r="BP281" s="153"/>
      <c r="BQ281" s="153"/>
      <c r="BR281" s="153"/>
      <c r="BS281" s="153"/>
      <c r="BT281" s="153"/>
      <c r="BU281" s="153"/>
      <c r="BV281" s="192"/>
      <c r="BW281" s="192"/>
      <c r="BX281" s="192"/>
      <c r="BY281" s="192"/>
      <c r="BZ281" s="192"/>
      <c r="CA281" s="192"/>
      <c r="CB281" s="192"/>
      <c r="CC281" s="192"/>
      <c r="CD281" s="192"/>
      <c r="CE281" s="192"/>
      <c r="CF281" s="153"/>
      <c r="CG281" s="242"/>
      <c r="CH281" s="192"/>
      <c r="CI281" s="192"/>
      <c r="CJ281" s="192"/>
      <c r="CK281" s="192"/>
      <c r="CL281" s="192"/>
      <c r="CM281" s="192"/>
      <c r="CN281" s="192"/>
      <c r="CO281" s="192"/>
      <c r="CP281" s="192"/>
      <c r="CQ281" s="192"/>
      <c r="CR281" s="192"/>
      <c r="CS281" s="192"/>
      <c r="CT281" s="192"/>
      <c r="CU281" s="192"/>
      <c r="CV281" s="192"/>
      <c r="CW281" s="192"/>
      <c r="CX281" s="192"/>
      <c r="CY281" s="192"/>
      <c r="CZ281" s="192"/>
      <c r="DA281" s="192"/>
      <c r="DB281" s="192"/>
      <c r="DC281" s="192"/>
      <c r="DD281" s="192"/>
      <c r="DE281" s="192"/>
      <c r="DF281" s="192"/>
      <c r="DG281" s="192"/>
      <c r="DH281" s="192"/>
      <c r="DI281" s="192"/>
      <c r="DJ281" s="192"/>
      <c r="DK281" s="192"/>
      <c r="DL281" s="192"/>
      <c r="DM281" s="192"/>
      <c r="DN281" s="192"/>
      <c r="DO281" s="192"/>
      <c r="DP281" s="192"/>
      <c r="DQ281" s="192"/>
      <c r="DR281" s="192"/>
      <c r="DS281" s="192"/>
      <c r="DT281" s="192"/>
      <c r="DU281" s="192"/>
      <c r="DV281" s="192"/>
      <c r="DW281" s="192"/>
      <c r="DX281" s="192"/>
      <c r="DY281" s="192"/>
      <c r="DZ281" s="192"/>
      <c r="EA281" s="192"/>
      <c r="EB281" s="192"/>
      <c r="EC281" s="192"/>
      <c r="ED281" s="192"/>
      <c r="EE281" s="192"/>
      <c r="EF281" s="192"/>
      <c r="EG281" s="192">
        <f>EH281</f>
        <v>0</v>
      </c>
      <c r="EH281" s="192">
        <v>0</v>
      </c>
      <c r="EI281" s="192">
        <v>0</v>
      </c>
      <c r="EJ281" s="192">
        <v>0</v>
      </c>
      <c r="EK281" s="192">
        <f>EL281</f>
        <v>32580</v>
      </c>
      <c r="EL281" s="192">
        <f>ET281-EH281</f>
        <v>32580</v>
      </c>
      <c r="EM281" s="192">
        <v>0</v>
      </c>
      <c r="EN281" s="192">
        <v>0</v>
      </c>
      <c r="EO281" s="192">
        <f>EP281</f>
        <v>0</v>
      </c>
      <c r="EP281" s="192">
        <v>0</v>
      </c>
      <c r="EQ281" s="192">
        <v>0</v>
      </c>
      <c r="ER281" s="192">
        <v>0</v>
      </c>
      <c r="ES281" s="192">
        <f>ET281</f>
        <v>32580</v>
      </c>
      <c r="ET281" s="192">
        <f>FP281-EH281</f>
        <v>32580</v>
      </c>
      <c r="EU281" s="192">
        <v>0</v>
      </c>
      <c r="EV281" s="192">
        <v>0</v>
      </c>
      <c r="EW281" s="192"/>
      <c r="EX281" s="192"/>
      <c r="EY281" s="192"/>
      <c r="EZ281" s="192"/>
      <c r="FA281" s="192"/>
      <c r="FB281" s="192"/>
      <c r="FC281" s="201">
        <f>FD281+FE281+FF281</f>
        <v>75473.150320000001</v>
      </c>
      <c r="FD281" s="201">
        <v>75473.150320000001</v>
      </c>
      <c r="FE281" s="201">
        <v>0</v>
      </c>
      <c r="FF281" s="201">
        <v>0</v>
      </c>
      <c r="FG281" s="201">
        <f>FH281</f>
        <v>-42893.150320000001</v>
      </c>
      <c r="FH281" s="201">
        <f>FP281-FD281</f>
        <v>-42893.150320000001</v>
      </c>
      <c r="FI281" s="201">
        <v>0</v>
      </c>
      <c r="FJ281" s="201">
        <v>0</v>
      </c>
      <c r="FK281" s="201">
        <f>FL281</f>
        <v>0</v>
      </c>
      <c r="FL281" s="201">
        <v>0</v>
      </c>
      <c r="FM281" s="201">
        <v>0</v>
      </c>
      <c r="FN281" s="201">
        <v>0</v>
      </c>
      <c r="FO281" s="201">
        <f>FP281</f>
        <v>32580</v>
      </c>
      <c r="FP281" s="201">
        <v>32580</v>
      </c>
      <c r="FQ281" s="201">
        <v>0</v>
      </c>
      <c r="FR281" s="201">
        <v>0</v>
      </c>
      <c r="FS281" s="201"/>
      <c r="FT281" s="582">
        <f t="shared" si="506"/>
        <v>0</v>
      </c>
      <c r="FU281" s="201"/>
      <c r="FV281" s="582">
        <f t="shared" si="507"/>
        <v>0</v>
      </c>
      <c r="FW281" s="192"/>
      <c r="FX281" s="192"/>
      <c r="FY281" s="192"/>
      <c r="FZ281" s="192"/>
      <c r="GA281" s="201"/>
      <c r="GB281" s="582"/>
      <c r="GC281" s="201"/>
      <c r="GD281" s="582"/>
      <c r="GE281" s="192"/>
      <c r="GF281" s="192"/>
      <c r="GG281" s="192"/>
      <c r="GH281" s="192"/>
      <c r="GI281" s="201"/>
      <c r="GJ281" s="582">
        <f t="shared" si="611"/>
        <v>0</v>
      </c>
      <c r="GK281" s="201"/>
      <c r="GL281" s="582">
        <f t="shared" si="612"/>
        <v>0</v>
      </c>
      <c r="GM281" s="201"/>
      <c r="GN281" s="582"/>
      <c r="GO281" s="201"/>
      <c r="GP281" s="582"/>
      <c r="GQ281" s="192"/>
      <c r="GR281" s="192"/>
      <c r="GS281" s="192"/>
      <c r="GT281" s="192"/>
      <c r="GU281" s="192">
        <f t="shared" si="613"/>
        <v>0</v>
      </c>
      <c r="GV281" s="192">
        <v>0</v>
      </c>
      <c r="GW281" s="192">
        <v>0</v>
      </c>
      <c r="GX281" s="192">
        <v>0</v>
      </c>
      <c r="GY281" s="192"/>
      <c r="GZ281" s="192"/>
      <c r="HA281" s="192"/>
      <c r="HB281" s="192"/>
      <c r="HC281" s="192"/>
      <c r="HD281" s="192"/>
      <c r="HE281" s="192"/>
      <c r="HF281" s="192"/>
      <c r="HG281" s="192">
        <f>HH281</f>
        <v>0</v>
      </c>
      <c r="HH281" s="192">
        <v>0</v>
      </c>
      <c r="HI281" s="192">
        <v>0</v>
      </c>
      <c r="HJ281" s="192">
        <v>0</v>
      </c>
      <c r="HK281" s="192">
        <f>HL281</f>
        <v>0</v>
      </c>
      <c r="HL281" s="192">
        <v>0</v>
      </c>
      <c r="HM281" s="192">
        <v>0</v>
      </c>
      <c r="HN281" s="192">
        <v>0</v>
      </c>
      <c r="HO281" s="192">
        <f t="shared" si="614"/>
        <v>0</v>
      </c>
      <c r="HP281" s="192">
        <v>0</v>
      </c>
      <c r="HQ281" s="192">
        <v>0</v>
      </c>
      <c r="HR281" s="192">
        <v>0</v>
      </c>
      <c r="HS281" s="192">
        <f>HT281</f>
        <v>0</v>
      </c>
      <c r="HT281" s="192">
        <v>0</v>
      </c>
      <c r="HU281" s="192">
        <v>0</v>
      </c>
      <c r="HV281" s="192">
        <v>0</v>
      </c>
      <c r="HW281" s="192">
        <f>HX281</f>
        <v>0</v>
      </c>
      <c r="HX281" s="192">
        <v>0</v>
      </c>
      <c r="HY281" s="192">
        <v>0</v>
      </c>
      <c r="HZ281" s="192">
        <v>0</v>
      </c>
      <c r="IA281" s="192">
        <f>IB281</f>
        <v>0</v>
      </c>
      <c r="IB281" s="192">
        <v>0</v>
      </c>
      <c r="IC281" s="192">
        <v>0</v>
      </c>
      <c r="ID281" s="192">
        <v>0</v>
      </c>
      <c r="IE281" s="302" t="s">
        <v>383</v>
      </c>
      <c r="IF281" s="290"/>
      <c r="IG281" s="290"/>
      <c r="IH281" s="290"/>
    </row>
    <row r="282" spans="2:249" s="283" customFormat="1" ht="87" hidden="1" customHeight="1" x14ac:dyDescent="0.3">
      <c r="B282" s="241" t="s">
        <v>116</v>
      </c>
      <c r="C282" s="303" t="s">
        <v>384</v>
      </c>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2"/>
      <c r="AL282" s="192"/>
      <c r="AM282" s="248"/>
      <c r="AN282" s="248"/>
      <c r="AO282" s="192"/>
      <c r="AP282" s="249"/>
      <c r="AQ282" s="249"/>
      <c r="AR282" s="192"/>
      <c r="AS282" s="192"/>
      <c r="AT282" s="192"/>
      <c r="AU282" s="192"/>
      <c r="AV282" s="192"/>
      <c r="AW282" s="192"/>
      <c r="AX282" s="192"/>
      <c r="AY282" s="192"/>
      <c r="AZ282" s="192"/>
      <c r="BA282" s="192"/>
      <c r="BB282" s="192"/>
      <c r="BC282" s="192"/>
      <c r="BD282" s="192"/>
      <c r="BE282" s="192"/>
      <c r="BF282" s="192"/>
      <c r="BG282" s="192"/>
      <c r="BH282" s="192"/>
      <c r="BI282" s="192"/>
      <c r="BJ282" s="192"/>
      <c r="BK282" s="192"/>
      <c r="BL282" s="153"/>
      <c r="BM282" s="153"/>
      <c r="BN282" s="153"/>
      <c r="BO282" s="153"/>
      <c r="BP282" s="153"/>
      <c r="BQ282" s="153"/>
      <c r="BR282" s="153"/>
      <c r="BS282" s="153"/>
      <c r="BT282" s="153"/>
      <c r="BU282" s="153"/>
      <c r="BV282" s="192"/>
      <c r="BW282" s="192"/>
      <c r="BX282" s="192"/>
      <c r="BY282" s="192"/>
      <c r="BZ282" s="192"/>
      <c r="CA282" s="192"/>
      <c r="CB282" s="192"/>
      <c r="CC282" s="192"/>
      <c r="CD282" s="192"/>
      <c r="CE282" s="192"/>
      <c r="CF282" s="153"/>
      <c r="CG282" s="242"/>
      <c r="CH282" s="192"/>
      <c r="CI282" s="192"/>
      <c r="CJ282" s="192"/>
      <c r="CK282" s="192"/>
      <c r="CL282" s="192"/>
      <c r="CM282" s="192"/>
      <c r="CN282" s="192"/>
      <c r="CO282" s="192"/>
      <c r="CP282" s="192"/>
      <c r="CQ282" s="192"/>
      <c r="CR282" s="192"/>
      <c r="CS282" s="192"/>
      <c r="CT282" s="192"/>
      <c r="CU282" s="192"/>
      <c r="CV282" s="192"/>
      <c r="CW282" s="192"/>
      <c r="CX282" s="192"/>
      <c r="CY282" s="192"/>
      <c r="CZ282" s="192"/>
      <c r="DA282" s="192"/>
      <c r="DB282" s="192"/>
      <c r="DC282" s="192"/>
      <c r="DD282" s="192"/>
      <c r="DE282" s="192"/>
      <c r="DF282" s="192"/>
      <c r="DG282" s="192"/>
      <c r="DH282" s="192"/>
      <c r="DI282" s="192"/>
      <c r="DJ282" s="192"/>
      <c r="DK282" s="192"/>
      <c r="DL282" s="192"/>
      <c r="DM282" s="192"/>
      <c r="DN282" s="192"/>
      <c r="DO282" s="192"/>
      <c r="DP282" s="192"/>
      <c r="DQ282" s="192"/>
      <c r="DR282" s="192"/>
      <c r="DS282" s="192"/>
      <c r="DT282" s="192"/>
      <c r="DU282" s="192"/>
      <c r="DV282" s="192"/>
      <c r="DW282" s="192"/>
      <c r="DX282" s="192"/>
      <c r="DY282" s="192"/>
      <c r="DZ282" s="192"/>
      <c r="EA282" s="192"/>
      <c r="EB282" s="192"/>
      <c r="EC282" s="192"/>
      <c r="ED282" s="192"/>
      <c r="EE282" s="192"/>
      <c r="EF282" s="192"/>
      <c r="EG282" s="192">
        <f>EH282</f>
        <v>82473.150320000001</v>
      </c>
      <c r="EH282" s="192">
        <v>82473.150320000001</v>
      </c>
      <c r="EI282" s="192">
        <v>0</v>
      </c>
      <c r="EJ282" s="192">
        <v>0</v>
      </c>
      <c r="EK282" s="192">
        <f>EL282</f>
        <v>-122053.15032</v>
      </c>
      <c r="EL282" s="192">
        <f>ET282-EH282</f>
        <v>-122053.15032</v>
      </c>
      <c r="EM282" s="192"/>
      <c r="EN282" s="192"/>
      <c r="EO282" s="192"/>
      <c r="EP282" s="192"/>
      <c r="EQ282" s="192"/>
      <c r="ER282" s="192"/>
      <c r="ES282" s="192">
        <f>ET282</f>
        <v>-39580</v>
      </c>
      <c r="ET282" s="192">
        <f>FP282-EH282</f>
        <v>-39580</v>
      </c>
      <c r="EU282" s="192">
        <v>0</v>
      </c>
      <c r="EV282" s="192">
        <v>0</v>
      </c>
      <c r="EW282" s="192"/>
      <c r="EX282" s="192"/>
      <c r="EY282" s="192"/>
      <c r="EZ282" s="192"/>
      <c r="FA282" s="192"/>
      <c r="FB282" s="192"/>
      <c r="FC282" s="201">
        <f>FD282+FE282+FF282</f>
        <v>0</v>
      </c>
      <c r="FD282" s="201">
        <v>0</v>
      </c>
      <c r="FE282" s="201"/>
      <c r="FF282" s="201"/>
      <c r="FG282" s="201">
        <f>FH282</f>
        <v>42893.150320000001</v>
      </c>
      <c r="FH282" s="201">
        <f>FP282-FD282</f>
        <v>42893.150320000001</v>
      </c>
      <c r="FI282" s="201"/>
      <c r="FJ282" s="201"/>
      <c r="FK282" s="201"/>
      <c r="FL282" s="201"/>
      <c r="FM282" s="201"/>
      <c r="FN282" s="201"/>
      <c r="FO282" s="201">
        <f>FP282</f>
        <v>42893.150320000001</v>
      </c>
      <c r="FP282" s="201">
        <f>FP283+FP284</f>
        <v>42893.150320000001</v>
      </c>
      <c r="FQ282" s="201">
        <v>0</v>
      </c>
      <c r="FR282" s="201">
        <v>0</v>
      </c>
      <c r="FS282" s="201"/>
      <c r="FT282" s="582" t="e">
        <f t="shared" ref="FT282:FT288" si="615">FS282/FC282</f>
        <v>#DIV/0!</v>
      </c>
      <c r="FU282" s="201"/>
      <c r="FV282" s="582" t="e">
        <f t="shared" ref="FV282:FV287" si="616">FU282/FD282</f>
        <v>#DIV/0!</v>
      </c>
      <c r="FW282" s="192"/>
      <c r="FX282" s="192"/>
      <c r="FY282" s="192"/>
      <c r="FZ282" s="192"/>
      <c r="GA282" s="201"/>
      <c r="GB282" s="582"/>
      <c r="GC282" s="201"/>
      <c r="GD282" s="582"/>
      <c r="GE282" s="192"/>
      <c r="GF282" s="192"/>
      <c r="GG282" s="192"/>
      <c r="GH282" s="192"/>
      <c r="GI282" s="201"/>
      <c r="GJ282" s="582" t="e">
        <f t="shared" si="611"/>
        <v>#DIV/0!</v>
      </c>
      <c r="GK282" s="201"/>
      <c r="GL282" s="582" t="e">
        <f t="shared" si="612"/>
        <v>#DIV/0!</v>
      </c>
      <c r="GM282" s="201"/>
      <c r="GN282" s="582"/>
      <c r="GO282" s="201"/>
      <c r="GP282" s="582"/>
      <c r="GQ282" s="192"/>
      <c r="GR282" s="192"/>
      <c r="GS282" s="192"/>
      <c r="GT282" s="192"/>
      <c r="GU282" s="192">
        <f t="shared" si="613"/>
        <v>701809.72661999997</v>
      </c>
      <c r="GV282" s="192">
        <f>GV283+GV284</f>
        <v>701809.72661999997</v>
      </c>
      <c r="GW282" s="192"/>
      <c r="GX282" s="192"/>
      <c r="GY282" s="192"/>
      <c r="GZ282" s="192"/>
      <c r="HA282" s="192"/>
      <c r="HB282" s="192"/>
      <c r="HC282" s="192"/>
      <c r="HD282" s="192"/>
      <c r="HE282" s="192"/>
      <c r="HF282" s="192"/>
      <c r="HG282" s="192">
        <f>HH282</f>
        <v>0</v>
      </c>
      <c r="HH282" s="192">
        <f>HP282-GV282</f>
        <v>0</v>
      </c>
      <c r="HI282" s="192"/>
      <c r="HJ282" s="192"/>
      <c r="HK282" s="192">
        <f>HL282</f>
        <v>0</v>
      </c>
      <c r="HL282" s="192">
        <v>0</v>
      </c>
      <c r="HM282" s="192"/>
      <c r="HN282" s="192"/>
      <c r="HO282" s="192">
        <f t="shared" si="614"/>
        <v>701809.72661999997</v>
      </c>
      <c r="HP282" s="192">
        <f>HP283+HP284</f>
        <v>701809.72661999997</v>
      </c>
      <c r="HQ282" s="192">
        <v>0</v>
      </c>
      <c r="HR282" s="192">
        <v>0</v>
      </c>
      <c r="HS282" s="192">
        <f>HT282</f>
        <v>0</v>
      </c>
      <c r="HT282" s="192">
        <v>0</v>
      </c>
      <c r="HU282" s="192">
        <v>0</v>
      </c>
      <c r="HV282" s="192">
        <v>0</v>
      </c>
      <c r="HW282" s="192">
        <f>HX282</f>
        <v>0</v>
      </c>
      <c r="HX282" s="192">
        <f>IB282-HT282</f>
        <v>0</v>
      </c>
      <c r="HY282" s="192">
        <v>0</v>
      </c>
      <c r="HZ282" s="192">
        <v>0</v>
      </c>
      <c r="IA282" s="192">
        <f>IB282</f>
        <v>0</v>
      </c>
      <c r="IB282" s="192">
        <f>HT282</f>
        <v>0</v>
      </c>
      <c r="IC282" s="192">
        <v>0</v>
      </c>
      <c r="ID282" s="192">
        <v>0</v>
      </c>
      <c r="IE282" s="302" t="s">
        <v>385</v>
      </c>
      <c r="IF282" s="290"/>
      <c r="IG282" s="290"/>
      <c r="IH282" s="290"/>
    </row>
    <row r="283" spans="2:249" s="307" customFormat="1" ht="38.25" hidden="1" customHeight="1" x14ac:dyDescent="0.3">
      <c r="B283" s="160"/>
      <c r="C283" s="304" t="s">
        <v>386</v>
      </c>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c r="AF283" s="164"/>
      <c r="AG283" s="164"/>
      <c r="AH283" s="164"/>
      <c r="AI283" s="164"/>
      <c r="AJ283" s="164"/>
      <c r="AK283" s="164"/>
      <c r="AL283" s="164"/>
      <c r="AM283" s="175"/>
      <c r="AN283" s="175"/>
      <c r="AO283" s="164"/>
      <c r="AP283" s="165"/>
      <c r="AQ283" s="165"/>
      <c r="AR283" s="164"/>
      <c r="AS283" s="164"/>
      <c r="AT283" s="164"/>
      <c r="AU283" s="164"/>
      <c r="AV283" s="164"/>
      <c r="AW283" s="164"/>
      <c r="AX283" s="164"/>
      <c r="AY283" s="164"/>
      <c r="AZ283" s="164"/>
      <c r="BA283" s="164"/>
      <c r="BB283" s="164"/>
      <c r="BC283" s="164"/>
      <c r="BD283" s="164"/>
      <c r="BE283" s="164"/>
      <c r="BF283" s="164"/>
      <c r="BG283" s="164"/>
      <c r="BH283" s="164"/>
      <c r="BI283" s="164"/>
      <c r="BJ283" s="164"/>
      <c r="BK283" s="164"/>
      <c r="BL283" s="144"/>
      <c r="BM283" s="144"/>
      <c r="BN283" s="144"/>
      <c r="BO283" s="144"/>
      <c r="BP283" s="144"/>
      <c r="BQ283" s="144"/>
      <c r="BR283" s="144"/>
      <c r="BS283" s="144"/>
      <c r="BT283" s="144"/>
      <c r="BU283" s="144"/>
      <c r="BV283" s="164"/>
      <c r="BW283" s="164"/>
      <c r="BX283" s="164"/>
      <c r="BY283" s="164"/>
      <c r="BZ283" s="164"/>
      <c r="CA283" s="164"/>
      <c r="CB283" s="164"/>
      <c r="CC283" s="164"/>
      <c r="CD283" s="164"/>
      <c r="CE283" s="164"/>
      <c r="CF283" s="144"/>
      <c r="CG283" s="174"/>
      <c r="CH283" s="164"/>
      <c r="CI283" s="164"/>
      <c r="CJ283" s="164"/>
      <c r="CK283" s="164"/>
      <c r="CL283" s="164"/>
      <c r="CM283" s="164"/>
      <c r="CN283" s="164"/>
      <c r="CO283" s="164"/>
      <c r="CP283" s="164"/>
      <c r="CQ283" s="164"/>
      <c r="CR283" s="164"/>
      <c r="CS283" s="164"/>
      <c r="CT283" s="164"/>
      <c r="CU283" s="164"/>
      <c r="CV283" s="164"/>
      <c r="CW283" s="164"/>
      <c r="CX283" s="164"/>
      <c r="CY283" s="164"/>
      <c r="CZ283" s="164"/>
      <c r="DA283" s="164"/>
      <c r="DB283" s="164"/>
      <c r="DC283" s="164"/>
      <c r="DD283" s="164"/>
      <c r="DE283" s="164"/>
      <c r="DF283" s="164"/>
      <c r="DG283" s="164"/>
      <c r="DH283" s="164"/>
      <c r="DI283" s="164"/>
      <c r="DJ283" s="164"/>
      <c r="DK283" s="164"/>
      <c r="DL283" s="164"/>
      <c r="DM283" s="164"/>
      <c r="DN283" s="164"/>
      <c r="DO283" s="164"/>
      <c r="DP283" s="164"/>
      <c r="DQ283" s="164"/>
      <c r="DR283" s="164"/>
      <c r="DS283" s="164"/>
      <c r="DT283" s="164"/>
      <c r="DU283" s="164"/>
      <c r="DV283" s="164"/>
      <c r="DW283" s="164"/>
      <c r="DX283" s="164"/>
      <c r="DY283" s="164"/>
      <c r="DZ283" s="164"/>
      <c r="EA283" s="164"/>
      <c r="EB283" s="164"/>
      <c r="EC283" s="164"/>
      <c r="ED283" s="164"/>
      <c r="EE283" s="164"/>
      <c r="EF283" s="164"/>
      <c r="EG283" s="164"/>
      <c r="EH283" s="164"/>
      <c r="EI283" s="164"/>
      <c r="EJ283" s="164"/>
      <c r="EK283" s="164"/>
      <c r="EL283" s="164"/>
      <c r="EM283" s="164"/>
      <c r="EN283" s="164"/>
      <c r="EO283" s="164"/>
      <c r="EP283" s="164"/>
      <c r="EQ283" s="164"/>
      <c r="ER283" s="164"/>
      <c r="ES283" s="164"/>
      <c r="ET283" s="164"/>
      <c r="EU283" s="164"/>
      <c r="EV283" s="164"/>
      <c r="EW283" s="164"/>
      <c r="EX283" s="164"/>
      <c r="EY283" s="164"/>
      <c r="EZ283" s="164"/>
      <c r="FA283" s="164"/>
      <c r="FB283" s="164"/>
      <c r="FC283" s="163">
        <f>FD283</f>
        <v>0</v>
      </c>
      <c r="FD283" s="163">
        <v>0</v>
      </c>
      <c r="FE283" s="163"/>
      <c r="FF283" s="163"/>
      <c r="FG283" s="163"/>
      <c r="FH283" s="163"/>
      <c r="FI283" s="163"/>
      <c r="FJ283" s="163"/>
      <c r="FK283" s="163"/>
      <c r="FL283" s="163"/>
      <c r="FM283" s="163"/>
      <c r="FN283" s="163"/>
      <c r="FO283" s="163">
        <f>FP282:FP283</f>
        <v>12893.150320000001</v>
      </c>
      <c r="FP283" s="163">
        <v>12893.150320000001</v>
      </c>
      <c r="FQ283" s="163"/>
      <c r="FR283" s="163"/>
      <c r="FS283" s="163"/>
      <c r="FT283" s="583" t="e">
        <f t="shared" si="615"/>
        <v>#DIV/0!</v>
      </c>
      <c r="FU283" s="163"/>
      <c r="FV283" s="583" t="e">
        <f t="shared" si="616"/>
        <v>#DIV/0!</v>
      </c>
      <c r="FW283" s="164"/>
      <c r="FX283" s="164"/>
      <c r="FY283" s="164"/>
      <c r="FZ283" s="164"/>
      <c r="GA283" s="163"/>
      <c r="GB283" s="583"/>
      <c r="GC283" s="163"/>
      <c r="GD283" s="583"/>
      <c r="GE283" s="164"/>
      <c r="GF283" s="164"/>
      <c r="GG283" s="164"/>
      <c r="GH283" s="164"/>
      <c r="GI283" s="163"/>
      <c r="GJ283" s="583" t="e">
        <f t="shared" si="611"/>
        <v>#DIV/0!</v>
      </c>
      <c r="GK283" s="163"/>
      <c r="GL283" s="583" t="e">
        <f t="shared" si="612"/>
        <v>#DIV/0!</v>
      </c>
      <c r="GM283" s="163"/>
      <c r="GN283" s="583"/>
      <c r="GO283" s="163"/>
      <c r="GP283" s="583"/>
      <c r="GQ283" s="164"/>
      <c r="GR283" s="164"/>
      <c r="GS283" s="164"/>
      <c r="GT283" s="164"/>
      <c r="GU283" s="164">
        <f t="shared" si="613"/>
        <v>701809.72661999997</v>
      </c>
      <c r="GV283" s="164">
        <v>701809.72661999997</v>
      </c>
      <c r="GW283" s="164"/>
      <c r="GX283" s="164"/>
      <c r="GY283" s="164"/>
      <c r="GZ283" s="164"/>
      <c r="HA283" s="164"/>
      <c r="HB283" s="164"/>
      <c r="HC283" s="164"/>
      <c r="HD283" s="164"/>
      <c r="HE283" s="164"/>
      <c r="HF283" s="164"/>
      <c r="HG283" s="164"/>
      <c r="HH283" s="164"/>
      <c r="HI283" s="164"/>
      <c r="HJ283" s="164"/>
      <c r="HK283" s="164"/>
      <c r="HL283" s="164"/>
      <c r="HM283" s="164"/>
      <c r="HN283" s="164"/>
      <c r="HO283" s="164">
        <f t="shared" si="614"/>
        <v>701809.72661999997</v>
      </c>
      <c r="HP283" s="164">
        <v>701809.72661999997</v>
      </c>
      <c r="HQ283" s="164"/>
      <c r="HR283" s="164"/>
      <c r="HS283" s="164"/>
      <c r="HT283" s="164"/>
      <c r="HU283" s="164"/>
      <c r="HV283" s="164"/>
      <c r="HW283" s="164"/>
      <c r="HX283" s="164"/>
      <c r="HY283" s="164"/>
      <c r="HZ283" s="164"/>
      <c r="IA283" s="164"/>
      <c r="IB283" s="164"/>
      <c r="IC283" s="164"/>
      <c r="ID283" s="164"/>
      <c r="IE283" s="305"/>
      <c r="IF283" s="306"/>
      <c r="IG283" s="306"/>
      <c r="IH283" s="306"/>
    </row>
    <row r="284" spans="2:249" s="307" customFormat="1" ht="45.75" hidden="1" customHeight="1" x14ac:dyDescent="0.3">
      <c r="B284" s="160"/>
      <c r="C284" s="304" t="s">
        <v>387</v>
      </c>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c r="AF284" s="164"/>
      <c r="AG284" s="164"/>
      <c r="AH284" s="164"/>
      <c r="AI284" s="164"/>
      <c r="AJ284" s="164"/>
      <c r="AK284" s="164"/>
      <c r="AL284" s="164"/>
      <c r="AM284" s="175"/>
      <c r="AN284" s="175"/>
      <c r="AO284" s="164"/>
      <c r="AP284" s="165"/>
      <c r="AQ284" s="165"/>
      <c r="AR284" s="164"/>
      <c r="AS284" s="164"/>
      <c r="AT284" s="164"/>
      <c r="AU284" s="164"/>
      <c r="AV284" s="164"/>
      <c r="AW284" s="164"/>
      <c r="AX284" s="164"/>
      <c r="AY284" s="164"/>
      <c r="AZ284" s="164"/>
      <c r="BA284" s="164"/>
      <c r="BB284" s="164"/>
      <c r="BC284" s="164"/>
      <c r="BD284" s="164"/>
      <c r="BE284" s="164"/>
      <c r="BF284" s="164"/>
      <c r="BG284" s="164"/>
      <c r="BH284" s="164"/>
      <c r="BI284" s="164"/>
      <c r="BJ284" s="164"/>
      <c r="BK284" s="164"/>
      <c r="BL284" s="144"/>
      <c r="BM284" s="144"/>
      <c r="BN284" s="144"/>
      <c r="BO284" s="144"/>
      <c r="BP284" s="144"/>
      <c r="BQ284" s="144"/>
      <c r="BR284" s="144"/>
      <c r="BS284" s="144"/>
      <c r="BT284" s="144"/>
      <c r="BU284" s="144"/>
      <c r="BV284" s="164"/>
      <c r="BW284" s="164"/>
      <c r="BX284" s="164"/>
      <c r="BY284" s="164"/>
      <c r="BZ284" s="164"/>
      <c r="CA284" s="164"/>
      <c r="CB284" s="164"/>
      <c r="CC284" s="164"/>
      <c r="CD284" s="164"/>
      <c r="CE284" s="164"/>
      <c r="CF284" s="144"/>
      <c r="CG284" s="174"/>
      <c r="CH284" s="164"/>
      <c r="CI284" s="164"/>
      <c r="CJ284" s="164"/>
      <c r="CK284" s="164"/>
      <c r="CL284" s="164"/>
      <c r="CM284" s="164"/>
      <c r="CN284" s="164"/>
      <c r="CO284" s="164"/>
      <c r="CP284" s="164"/>
      <c r="CQ284" s="164"/>
      <c r="CR284" s="164"/>
      <c r="CS284" s="164"/>
      <c r="CT284" s="164"/>
      <c r="CU284" s="164"/>
      <c r="CV284" s="164"/>
      <c r="CW284" s="164"/>
      <c r="CX284" s="164"/>
      <c r="CY284" s="164"/>
      <c r="CZ284" s="164"/>
      <c r="DA284" s="164"/>
      <c r="DB284" s="164"/>
      <c r="DC284" s="164"/>
      <c r="DD284" s="164"/>
      <c r="DE284" s="164"/>
      <c r="DF284" s="164"/>
      <c r="DG284" s="164"/>
      <c r="DH284" s="164"/>
      <c r="DI284" s="164"/>
      <c r="DJ284" s="164"/>
      <c r="DK284" s="164"/>
      <c r="DL284" s="164"/>
      <c r="DM284" s="164"/>
      <c r="DN284" s="164"/>
      <c r="DO284" s="164"/>
      <c r="DP284" s="164"/>
      <c r="DQ284" s="164"/>
      <c r="DR284" s="164"/>
      <c r="DS284" s="164"/>
      <c r="DT284" s="164"/>
      <c r="DU284" s="164"/>
      <c r="DV284" s="164"/>
      <c r="DW284" s="164"/>
      <c r="DX284" s="164"/>
      <c r="DY284" s="164"/>
      <c r="DZ284" s="164"/>
      <c r="EA284" s="164"/>
      <c r="EB284" s="164"/>
      <c r="EC284" s="164"/>
      <c r="ED284" s="164"/>
      <c r="EE284" s="164"/>
      <c r="EF284" s="164"/>
      <c r="EG284" s="164"/>
      <c r="EH284" s="164"/>
      <c r="EI284" s="164"/>
      <c r="EJ284" s="164"/>
      <c r="EK284" s="164"/>
      <c r="EL284" s="164"/>
      <c r="EM284" s="164"/>
      <c r="EN284" s="164"/>
      <c r="EO284" s="164"/>
      <c r="EP284" s="164"/>
      <c r="EQ284" s="164"/>
      <c r="ER284" s="164"/>
      <c r="ES284" s="164"/>
      <c r="ET284" s="164"/>
      <c r="EU284" s="164"/>
      <c r="EV284" s="164"/>
      <c r="EW284" s="164"/>
      <c r="EX284" s="164"/>
      <c r="EY284" s="164"/>
      <c r="EZ284" s="164"/>
      <c r="FA284" s="164"/>
      <c r="FB284" s="164"/>
      <c r="FC284" s="163">
        <f>FD284</f>
        <v>0</v>
      </c>
      <c r="FD284" s="163">
        <v>0</v>
      </c>
      <c r="FE284" s="163"/>
      <c r="FF284" s="163"/>
      <c r="FG284" s="163"/>
      <c r="FH284" s="163"/>
      <c r="FI284" s="163"/>
      <c r="FJ284" s="163"/>
      <c r="FK284" s="163"/>
      <c r="FL284" s="163"/>
      <c r="FM284" s="163"/>
      <c r="FN284" s="163"/>
      <c r="FO284" s="163">
        <f>FP283:FP284</f>
        <v>30000</v>
      </c>
      <c r="FP284" s="163">
        <v>30000</v>
      </c>
      <c r="FQ284" s="163"/>
      <c r="FR284" s="163"/>
      <c r="FS284" s="163"/>
      <c r="FT284" s="583" t="e">
        <f t="shared" si="615"/>
        <v>#DIV/0!</v>
      </c>
      <c r="FU284" s="163"/>
      <c r="FV284" s="583" t="e">
        <f t="shared" si="616"/>
        <v>#DIV/0!</v>
      </c>
      <c r="FW284" s="164"/>
      <c r="FX284" s="164"/>
      <c r="FY284" s="164"/>
      <c r="FZ284" s="164"/>
      <c r="GA284" s="163"/>
      <c r="GB284" s="583"/>
      <c r="GC284" s="163"/>
      <c r="GD284" s="583"/>
      <c r="GE284" s="164"/>
      <c r="GF284" s="164"/>
      <c r="GG284" s="164"/>
      <c r="GH284" s="164"/>
      <c r="GI284" s="163"/>
      <c r="GJ284" s="583" t="e">
        <f t="shared" si="611"/>
        <v>#DIV/0!</v>
      </c>
      <c r="GK284" s="163"/>
      <c r="GL284" s="583" t="e">
        <f t="shared" si="612"/>
        <v>#DIV/0!</v>
      </c>
      <c r="GM284" s="163"/>
      <c r="GN284" s="583"/>
      <c r="GO284" s="163"/>
      <c r="GP284" s="583"/>
      <c r="GQ284" s="164"/>
      <c r="GR284" s="164"/>
      <c r="GS284" s="164"/>
      <c r="GT284" s="164"/>
      <c r="GU284" s="164">
        <f t="shared" si="613"/>
        <v>0</v>
      </c>
      <c r="GV284" s="164">
        <v>0</v>
      </c>
      <c r="GW284" s="164"/>
      <c r="GX284" s="164"/>
      <c r="GY284" s="164"/>
      <c r="GZ284" s="164"/>
      <c r="HA284" s="164"/>
      <c r="HB284" s="164"/>
      <c r="HC284" s="164"/>
      <c r="HD284" s="164"/>
      <c r="HE284" s="164"/>
      <c r="HF284" s="164"/>
      <c r="HG284" s="164"/>
      <c r="HH284" s="164"/>
      <c r="HI284" s="164"/>
      <c r="HJ284" s="164"/>
      <c r="HK284" s="164"/>
      <c r="HL284" s="164"/>
      <c r="HM284" s="164"/>
      <c r="HN284" s="164"/>
      <c r="HO284" s="164">
        <f t="shared" si="614"/>
        <v>0</v>
      </c>
      <c r="HP284" s="164">
        <v>0</v>
      </c>
      <c r="HQ284" s="164"/>
      <c r="HR284" s="164"/>
      <c r="HS284" s="164"/>
      <c r="HT284" s="164"/>
      <c r="HU284" s="164"/>
      <c r="HV284" s="164"/>
      <c r="HW284" s="164"/>
      <c r="HX284" s="164"/>
      <c r="HY284" s="164"/>
      <c r="HZ284" s="164"/>
      <c r="IA284" s="164"/>
      <c r="IB284" s="164"/>
      <c r="IC284" s="164"/>
      <c r="ID284" s="164"/>
      <c r="IE284" s="305"/>
      <c r="IF284" s="306"/>
      <c r="IG284" s="306"/>
      <c r="IH284" s="306"/>
    </row>
    <row r="285" spans="2:249" s="309" customFormat="1" ht="43.5" customHeight="1" x14ac:dyDescent="0.3">
      <c r="B285" s="780" t="s">
        <v>388</v>
      </c>
      <c r="C285" s="781"/>
      <c r="D285" s="153"/>
      <c r="E285" s="153" t="e">
        <f>F285+G285</f>
        <v>#REF!</v>
      </c>
      <c r="F285" s="153" t="e">
        <f>F213+F263+F269</f>
        <v>#REF!</v>
      </c>
      <c r="G285" s="153" t="e">
        <f>G213+G263+G269</f>
        <v>#REF!</v>
      </c>
      <c r="H285" s="153" t="e">
        <f>I285+J285</f>
        <v>#REF!</v>
      </c>
      <c r="I285" s="153" t="e">
        <f>I213+I263+I269</f>
        <v>#REF!</v>
      </c>
      <c r="J285" s="153" t="e">
        <f>J213+J263+J269</f>
        <v>#REF!</v>
      </c>
      <c r="K285" s="153" t="e">
        <f>L285+M285</f>
        <v>#REF!</v>
      </c>
      <c r="L285" s="153" t="e">
        <f>L213+L263+L269</f>
        <v>#REF!</v>
      </c>
      <c r="M285" s="153" t="e">
        <f>M213+M263+M269</f>
        <v>#REF!</v>
      </c>
      <c r="N285" s="153" t="e">
        <f>O285+P285</f>
        <v>#REF!</v>
      </c>
      <c r="O285" s="153" t="e">
        <f>O213+O263+O269</f>
        <v>#REF!</v>
      </c>
      <c r="P285" s="153" t="e">
        <f>P213+P263+P269</f>
        <v>#REF!</v>
      </c>
      <c r="Q285" s="153" t="e">
        <f>R285+S285</f>
        <v>#REF!</v>
      </c>
      <c r="R285" s="153" t="e">
        <f>R213+R263+R269</f>
        <v>#REF!</v>
      </c>
      <c r="S285" s="153" t="e">
        <f>S213+S263+S269</f>
        <v>#REF!</v>
      </c>
      <c r="T285" s="153">
        <f>U285+V285</f>
        <v>6548494.1775000002</v>
      </c>
      <c r="U285" s="153">
        <f>U213+U263+U269</f>
        <v>411417.522</v>
      </c>
      <c r="V285" s="153">
        <f>V213+V263+V269</f>
        <v>6137076.6555000003</v>
      </c>
      <c r="W285" s="153" t="e">
        <f>X285+Y285</f>
        <v>#REF!</v>
      </c>
      <c r="X285" s="153" t="e">
        <f t="shared" ref="X285:AN285" si="617">X213+X263+X269</f>
        <v>#REF!</v>
      </c>
      <c r="Y285" s="153">
        <f t="shared" si="617"/>
        <v>-5875507.9555000002</v>
      </c>
      <c r="Z285" s="153" t="e">
        <f t="shared" si="617"/>
        <v>#REF!</v>
      </c>
      <c r="AA285" s="153" t="e">
        <f t="shared" si="617"/>
        <v>#REF!</v>
      </c>
      <c r="AB285" s="153">
        <f t="shared" si="617"/>
        <v>261568.7</v>
      </c>
      <c r="AC285" s="153">
        <f t="shared" si="617"/>
        <v>0</v>
      </c>
      <c r="AD285" s="153">
        <f t="shared" si="617"/>
        <v>0</v>
      </c>
      <c r="AE285" s="153">
        <f t="shared" si="617"/>
        <v>0</v>
      </c>
      <c r="AF285" s="153" t="e">
        <f t="shared" si="617"/>
        <v>#REF!</v>
      </c>
      <c r="AG285" s="153" t="e">
        <f t="shared" si="617"/>
        <v>#REF!</v>
      </c>
      <c r="AH285" s="153" t="e">
        <f t="shared" si="617"/>
        <v>#REF!</v>
      </c>
      <c r="AI285" s="153">
        <f t="shared" si="617"/>
        <v>0</v>
      </c>
      <c r="AJ285" s="153">
        <f t="shared" si="617"/>
        <v>3054006.85665</v>
      </c>
      <c r="AK285" s="154" t="e">
        <f t="shared" si="617"/>
        <v>#REF!</v>
      </c>
      <c r="AL285" s="154" t="e">
        <f t="shared" si="617"/>
        <v>#REF!</v>
      </c>
      <c r="AM285" s="107" t="e">
        <f t="shared" si="617"/>
        <v>#VALUE!</v>
      </c>
      <c r="AN285" s="107" t="e">
        <f t="shared" si="617"/>
        <v>#VALUE!</v>
      </c>
      <c r="AO285" s="154">
        <v>1</v>
      </c>
      <c r="AP285" s="153">
        <f t="shared" ref="AP285:BJ285" si="618">AP213+AP263+AP269</f>
        <v>3227433.9653699999</v>
      </c>
      <c r="AQ285" s="153">
        <f t="shared" si="618"/>
        <v>65271.912689999997</v>
      </c>
      <c r="AR285" s="154" t="e">
        <f t="shared" si="618"/>
        <v>#REF!</v>
      </c>
      <c r="AS285" s="153">
        <f t="shared" si="618"/>
        <v>6825010.3999999994</v>
      </c>
      <c r="AT285" s="153">
        <f t="shared" si="618"/>
        <v>6576249.0999999996</v>
      </c>
      <c r="AU285" s="153">
        <f t="shared" si="618"/>
        <v>248761.3</v>
      </c>
      <c r="AV285" s="153">
        <f t="shared" si="618"/>
        <v>-60000</v>
      </c>
      <c r="AW285" s="153">
        <f t="shared" si="618"/>
        <v>-60000</v>
      </c>
      <c r="AX285" s="153">
        <f t="shared" si="618"/>
        <v>0</v>
      </c>
      <c r="AY285" s="153">
        <f t="shared" si="618"/>
        <v>6765010.3999999994</v>
      </c>
      <c r="AZ285" s="153">
        <f t="shared" si="618"/>
        <v>6516249.0999999996</v>
      </c>
      <c r="BA285" s="153">
        <f t="shared" si="618"/>
        <v>248761.3</v>
      </c>
      <c r="BB285" s="153">
        <f t="shared" si="618"/>
        <v>7076249.1000000006</v>
      </c>
      <c r="BC285" s="153">
        <f t="shared" si="618"/>
        <v>6576249.1000000006</v>
      </c>
      <c r="BD285" s="153">
        <f t="shared" si="618"/>
        <v>500000</v>
      </c>
      <c r="BE285" s="153">
        <f t="shared" si="618"/>
        <v>-523931.14799999981</v>
      </c>
      <c r="BF285" s="153">
        <f t="shared" si="618"/>
        <v>-684761.10099999979</v>
      </c>
      <c r="BG285" s="153">
        <f t="shared" si="618"/>
        <v>160829.95300000001</v>
      </c>
      <c r="BH285" s="153">
        <f t="shared" si="618"/>
        <v>6241079.2520000003</v>
      </c>
      <c r="BI285" s="153">
        <f t="shared" si="618"/>
        <v>5831487.9989999998</v>
      </c>
      <c r="BJ285" s="153">
        <f t="shared" si="618"/>
        <v>409591.25300000003</v>
      </c>
      <c r="BK285" s="154">
        <v>1</v>
      </c>
      <c r="BL285" s="154">
        <f t="shared" ref="BL285:CD285" si="619">BL213+BL263+BL269</f>
        <v>6161708.125</v>
      </c>
      <c r="BM285" s="154">
        <f t="shared" si="619"/>
        <v>1691327.73172</v>
      </c>
      <c r="BN285" s="154">
        <f t="shared" si="619"/>
        <v>1691327.73172</v>
      </c>
      <c r="BO285" s="154">
        <f t="shared" si="619"/>
        <v>0</v>
      </c>
      <c r="BP285" s="154">
        <f t="shared" si="619"/>
        <v>0</v>
      </c>
      <c r="BQ285" s="154">
        <f t="shared" si="619"/>
        <v>0</v>
      </c>
      <c r="BR285" s="154">
        <f t="shared" si="619"/>
        <v>0</v>
      </c>
      <c r="BS285" s="154">
        <f t="shared" si="619"/>
        <v>4549751.5202799998</v>
      </c>
      <c r="BT285" s="154">
        <f t="shared" si="619"/>
        <v>4140160.2672800003</v>
      </c>
      <c r="BU285" s="154">
        <f t="shared" si="619"/>
        <v>409591.25300000003</v>
      </c>
      <c r="BV285" s="153">
        <f t="shared" si="619"/>
        <v>6825010.4000000004</v>
      </c>
      <c r="BW285" s="153">
        <f t="shared" si="619"/>
        <v>6576249.1000000006</v>
      </c>
      <c r="BX285" s="153">
        <f t="shared" si="619"/>
        <v>248761.3</v>
      </c>
      <c r="BY285" s="153">
        <f t="shared" si="619"/>
        <v>-1160574.0860000001</v>
      </c>
      <c r="BZ285" s="153">
        <f t="shared" si="619"/>
        <v>-1105982.8330000001</v>
      </c>
      <c r="CA285" s="153">
        <f t="shared" si="619"/>
        <v>-54591.252999999997</v>
      </c>
      <c r="CB285" s="153">
        <f t="shared" si="619"/>
        <v>5119505.1659999993</v>
      </c>
      <c r="CC285" s="153">
        <f t="shared" si="619"/>
        <v>4764505.1659999993</v>
      </c>
      <c r="CD285" s="153">
        <f t="shared" si="619"/>
        <v>355000</v>
      </c>
      <c r="CE285" s="154">
        <v>1</v>
      </c>
      <c r="CF285" s="154">
        <f>CF213+CF263+CF269</f>
        <v>4846261.4019999998</v>
      </c>
      <c r="CG285" s="153"/>
      <c r="CH285" s="153" t="e">
        <f t="shared" ref="CH285:CV285" si="620">CH213+CH263+CH269</f>
        <v>#REF!</v>
      </c>
      <c r="CI285" s="153">
        <f t="shared" si="620"/>
        <v>7163087.5999999996</v>
      </c>
      <c r="CJ285" s="153" t="e">
        <f t="shared" si="620"/>
        <v>#REF!</v>
      </c>
      <c r="CK285" s="153" t="e">
        <f t="shared" si="620"/>
        <v>#REF!</v>
      </c>
      <c r="CL285" s="153">
        <f t="shared" si="620"/>
        <v>-854239.08000000007</v>
      </c>
      <c r="CM285" s="153" t="e">
        <f t="shared" si="620"/>
        <v>#REF!</v>
      </c>
      <c r="CN285" s="153" t="e">
        <f t="shared" si="620"/>
        <v>#REF!</v>
      </c>
      <c r="CO285" s="153" t="e">
        <f t="shared" si="620"/>
        <v>#REF!</v>
      </c>
      <c r="CP285" s="153" t="e">
        <f t="shared" si="620"/>
        <v>#REF!</v>
      </c>
      <c r="CQ285" s="153" t="e">
        <f t="shared" si="620"/>
        <v>#REF!</v>
      </c>
      <c r="CR285" s="153" t="e">
        <f t="shared" si="620"/>
        <v>#REF!</v>
      </c>
      <c r="CS285" s="153">
        <f t="shared" si="620"/>
        <v>488740.28</v>
      </c>
      <c r="CT285" s="153">
        <f t="shared" si="620"/>
        <v>787227.43884999992</v>
      </c>
      <c r="CU285" s="153">
        <f t="shared" si="620"/>
        <v>447156.43884999992</v>
      </c>
      <c r="CV285" s="153">
        <f t="shared" si="620"/>
        <v>340071</v>
      </c>
      <c r="CW285" s="153" t="e">
        <f t="shared" ref="CW285:DE285" si="621">CW213+CW263+CW269+CW244</f>
        <v>#REF!</v>
      </c>
      <c r="CX285" s="153" t="e">
        <f t="shared" si="621"/>
        <v>#REF!</v>
      </c>
      <c r="CY285" s="153" t="e">
        <f t="shared" si="621"/>
        <v>#REF!</v>
      </c>
      <c r="CZ285" s="153" t="e">
        <f t="shared" si="621"/>
        <v>#REF!</v>
      </c>
      <c r="DA285" s="153" t="e">
        <f t="shared" si="621"/>
        <v>#REF!</v>
      </c>
      <c r="DB285" s="153" t="e">
        <f t="shared" si="621"/>
        <v>#REF!</v>
      </c>
      <c r="DC285" s="153">
        <f t="shared" si="621"/>
        <v>380350</v>
      </c>
      <c r="DD285" s="153">
        <f t="shared" si="621"/>
        <v>0</v>
      </c>
      <c r="DE285" s="153">
        <f t="shared" si="621"/>
        <v>380350</v>
      </c>
      <c r="DF285" s="153" t="e">
        <f>DF213+DF263+DF269+DF244+DF277</f>
        <v>#REF!</v>
      </c>
      <c r="DG285" s="153" t="e">
        <f>DG213+DG263+DG269+DG244+DG277</f>
        <v>#REF!</v>
      </c>
      <c r="DH285" s="153" t="e">
        <f>DH213+DH263+DH269+DH244</f>
        <v>#REF!</v>
      </c>
      <c r="DI285" s="153" t="e">
        <f>DI213+DI263+DI269+DI244+DI277</f>
        <v>#REF!</v>
      </c>
      <c r="DJ285" s="153" t="e">
        <f>DJ213+DJ263+DJ269+DJ244+DJ277</f>
        <v>#REF!</v>
      </c>
      <c r="DK285" s="153" t="e">
        <f t="shared" ref="DK285:EF285" si="622">DK213+DK263+DK269+DK244</f>
        <v>#REF!</v>
      </c>
      <c r="DL285" s="153">
        <f t="shared" si="622"/>
        <v>2592435.5689300001</v>
      </c>
      <c r="DM285" s="153">
        <f t="shared" si="622"/>
        <v>2592435.5689300001</v>
      </c>
      <c r="DN285" s="153">
        <f t="shared" si="622"/>
        <v>0</v>
      </c>
      <c r="DO285" s="153">
        <f t="shared" si="622"/>
        <v>1406296.9950600001</v>
      </c>
      <c r="DP285" s="153">
        <f t="shared" si="622"/>
        <v>1406296.9950600001</v>
      </c>
      <c r="DQ285" s="153">
        <f t="shared" si="622"/>
        <v>0</v>
      </c>
      <c r="DR285" s="153" t="e">
        <f t="shared" si="622"/>
        <v>#REF!</v>
      </c>
      <c r="DS285" s="153" t="e">
        <f t="shared" si="622"/>
        <v>#REF!</v>
      </c>
      <c r="DT285" s="153">
        <f t="shared" si="622"/>
        <v>1110185.402</v>
      </c>
      <c r="DU285" s="153" t="e">
        <f t="shared" si="622"/>
        <v>#REF!</v>
      </c>
      <c r="DV285" s="153" t="e">
        <f t="shared" si="622"/>
        <v>#REF!</v>
      </c>
      <c r="DW285" s="153" t="e">
        <f t="shared" si="622"/>
        <v>#REF!</v>
      </c>
      <c r="DX285" s="153" t="e">
        <f t="shared" si="622"/>
        <v>#REF!</v>
      </c>
      <c r="DY285" s="153" t="e">
        <f t="shared" si="622"/>
        <v>#REF!</v>
      </c>
      <c r="DZ285" s="153" t="e">
        <f t="shared" si="622"/>
        <v>#REF!</v>
      </c>
      <c r="EA285" s="153">
        <f t="shared" si="622"/>
        <v>443142</v>
      </c>
      <c r="EB285" s="153">
        <f t="shared" si="622"/>
        <v>0</v>
      </c>
      <c r="EC285" s="153">
        <f t="shared" si="622"/>
        <v>443142</v>
      </c>
      <c r="ED285" s="153" t="e">
        <f t="shared" si="622"/>
        <v>#REF!</v>
      </c>
      <c r="EE285" s="153" t="e">
        <f t="shared" si="622"/>
        <v>#REF!</v>
      </c>
      <c r="EF285" s="153" t="e">
        <f t="shared" si="622"/>
        <v>#REF!</v>
      </c>
      <c r="EG285" s="153" t="e">
        <f t="shared" ref="EG285:EV285" si="623">EG213+EG263+EG269+EG244+EG279</f>
        <v>#REF!</v>
      </c>
      <c r="EH285" s="153" t="e">
        <f t="shared" si="623"/>
        <v>#REF!</v>
      </c>
      <c r="EI285" s="153">
        <f t="shared" si="623"/>
        <v>34587.546999999999</v>
      </c>
      <c r="EJ285" s="153">
        <f t="shared" si="623"/>
        <v>999342.11317999999</v>
      </c>
      <c r="EK285" s="153" t="e">
        <f t="shared" si="623"/>
        <v>#REF!</v>
      </c>
      <c r="EL285" s="153" t="e">
        <f t="shared" si="623"/>
        <v>#REF!</v>
      </c>
      <c r="EM285" s="153" t="e">
        <f t="shared" si="623"/>
        <v>#REF!</v>
      </c>
      <c r="EN285" s="153" t="e">
        <f t="shared" si="623"/>
        <v>#REF!</v>
      </c>
      <c r="EO285" s="153" t="e">
        <f t="shared" si="623"/>
        <v>#REF!</v>
      </c>
      <c r="EP285" s="153" t="e">
        <f t="shared" si="623"/>
        <v>#REF!</v>
      </c>
      <c r="EQ285" s="153" t="e">
        <f t="shared" si="623"/>
        <v>#REF!</v>
      </c>
      <c r="ER285" s="153" t="e">
        <f t="shared" si="623"/>
        <v>#REF!</v>
      </c>
      <c r="ES285" s="153" t="e">
        <f t="shared" si="623"/>
        <v>#REF!</v>
      </c>
      <c r="ET285" s="153" t="e">
        <f t="shared" si="623"/>
        <v>#REF!</v>
      </c>
      <c r="EU285" s="153">
        <f t="shared" si="623"/>
        <v>0</v>
      </c>
      <c r="EV285" s="153">
        <f t="shared" si="623"/>
        <v>-7127.2687499999302</v>
      </c>
      <c r="EW285" s="153">
        <f>EW213+EW263+EW269+EW244</f>
        <v>5553038.8158</v>
      </c>
      <c r="EX285" s="153">
        <f>EX213+EX263+EX269+EX244</f>
        <v>4825637.5158000002</v>
      </c>
      <c r="EY285" s="153">
        <f>EY213+EY263+EY269+EY244</f>
        <v>727401.3</v>
      </c>
      <c r="EZ285" s="153" t="e">
        <f>EZ213+EZ263+EZ269+EZ244</f>
        <v>#REF!</v>
      </c>
      <c r="FA285" s="153" t="e">
        <f>FA213+FA263+FA269+FA244</f>
        <v>#REF!</v>
      </c>
      <c r="FB285" s="153">
        <f>FB213+FB263+FB269</f>
        <v>260607.51318000001</v>
      </c>
      <c r="FC285" s="152">
        <f>FC213+FC263+FC269+FC244+FC279+FC231</f>
        <v>10698404.451649999</v>
      </c>
      <c r="FD285" s="152">
        <f>FD213+FD244+FD263+FD269+FD279</f>
        <v>9185559.6182199996</v>
      </c>
      <c r="FE285" s="152">
        <f t="shared" ref="FE285:FW285" si="624">FE213+FE263+FE269+FE244+FE279+FE231+FE253</f>
        <v>34587.546999999999</v>
      </c>
      <c r="FF285" s="152">
        <f>FF213+FF244+FF263+FF269+FF279</f>
        <v>1478257.2864300001</v>
      </c>
      <c r="FG285" s="152">
        <f t="shared" si="624"/>
        <v>-494366.29014000011</v>
      </c>
      <c r="FH285" s="152">
        <f t="shared" si="624"/>
        <v>-512550.63214000012</v>
      </c>
      <c r="FI285" s="152">
        <f t="shared" si="624"/>
        <v>0</v>
      </c>
      <c r="FJ285" s="152">
        <f t="shared" si="624"/>
        <v>18184.342000000026</v>
      </c>
      <c r="FK285" s="152" t="e">
        <f t="shared" si="624"/>
        <v>#REF!</v>
      </c>
      <c r="FL285" s="152" t="e">
        <f t="shared" si="624"/>
        <v>#REF!</v>
      </c>
      <c r="FM285" s="152" t="e">
        <f t="shared" si="624"/>
        <v>#REF!</v>
      </c>
      <c r="FN285" s="152" t="e">
        <f t="shared" si="624"/>
        <v>#REF!</v>
      </c>
      <c r="FO285" s="152">
        <f t="shared" si="624"/>
        <v>7951660.8214199999</v>
      </c>
      <c r="FP285" s="152">
        <f t="shared" si="624"/>
        <v>6471546.4879900003</v>
      </c>
      <c r="FQ285" s="152">
        <f t="shared" si="624"/>
        <v>34587.546999999999</v>
      </c>
      <c r="FR285" s="152">
        <f t="shared" si="624"/>
        <v>1445526.7864300001</v>
      </c>
      <c r="FS285" s="152">
        <f t="shared" si="624"/>
        <v>6226866.6418299992</v>
      </c>
      <c r="FT285" s="579">
        <f t="shared" si="615"/>
        <v>0.58203694485205582</v>
      </c>
      <c r="FU285" s="152">
        <f>FU213+FU244+FU263+FU269+FU279</f>
        <v>5633298.6049099993</v>
      </c>
      <c r="FV285" s="579">
        <f t="shared" si="616"/>
        <v>0.61327767050099813</v>
      </c>
      <c r="FW285" s="152">
        <f t="shared" si="624"/>
        <v>20089.679530000001</v>
      </c>
      <c r="FX285" s="579">
        <f>FW285/FE285</f>
        <v>0.58083562647562148</v>
      </c>
      <c r="FY285" s="152">
        <f>FY213+FY244+FY263+FY269+FY279</f>
        <v>573478.35739000002</v>
      </c>
      <c r="FZ285" s="579">
        <f>FY285/FF285</f>
        <v>0.38794218209128778</v>
      </c>
      <c r="GA285" s="152">
        <f>GA213+GA263+GA269+GA244+GA279+GA231+GA253</f>
        <v>6124086.0443599988</v>
      </c>
      <c r="GB285" s="579">
        <f>GA285/FC285</f>
        <v>0.57242984895897164</v>
      </c>
      <c r="GC285" s="152">
        <f>GC213+GC263+GC269+GC244+GC279+GC231+GC253</f>
        <v>5532281.1648899997</v>
      </c>
      <c r="GD285" s="579">
        <f>GC285/FD285</f>
        <v>0.60228025235571425</v>
      </c>
      <c r="GE285" s="152">
        <f>GE213+GE263+GE269+GE244+GE279+GE231+GE253</f>
        <v>18326.522079999999</v>
      </c>
      <c r="GF285" s="579">
        <f>GE285/FE285</f>
        <v>0.52985897149630179</v>
      </c>
      <c r="GG285" s="152">
        <f>GG213+GG244+GG263+GG269+GG279</f>
        <v>573478.35739000002</v>
      </c>
      <c r="GH285" s="579">
        <f>GG285/FF285</f>
        <v>0.38794218209128778</v>
      </c>
      <c r="GI285" s="152">
        <f>GI213+GI244+GI263+GI269</f>
        <v>8935440.0113600008</v>
      </c>
      <c r="GJ285" s="579">
        <f t="shared" si="611"/>
        <v>0.83521239561866634</v>
      </c>
      <c r="GK285" s="152">
        <f>GK286+GK287</f>
        <v>7435105.4654099997</v>
      </c>
      <c r="GL285" s="579">
        <f t="shared" si="612"/>
        <v>0.80943413079178217</v>
      </c>
      <c r="GM285" s="152">
        <f>GM286+GM287</f>
        <v>30212.98113</v>
      </c>
      <c r="GN285" s="579">
        <f>GM285/FE285</f>
        <v>0.87352193926906707</v>
      </c>
      <c r="GO285" s="152">
        <f>GO213+GO244+GO263+GO269+GO279</f>
        <v>1470121.5648200002</v>
      </c>
      <c r="GP285" s="579">
        <f>GO285/FF285</f>
        <v>0.994496410276693</v>
      </c>
      <c r="GQ285" s="308"/>
      <c r="GR285" s="308"/>
      <c r="GS285" s="308"/>
      <c r="GT285" s="308"/>
      <c r="GU285" s="153" t="e">
        <f>GU213+GU263+GU269+GU244+GU279+GU231+GU253</f>
        <v>#REF!</v>
      </c>
      <c r="GV285" s="153" t="e">
        <f>GV213+GV263+GV269+GV244+GV279+GV231</f>
        <v>#REF!</v>
      </c>
      <c r="GW285" s="153">
        <f>GW213+GW263+GW269+GW244+GW279</f>
        <v>35432.549619999998</v>
      </c>
      <c r="GX285" s="153">
        <f>GX213+GX263+GX269+GX244+GX279</f>
        <v>1037972.3</v>
      </c>
      <c r="GY285" s="153"/>
      <c r="GZ285" s="153"/>
      <c r="HA285" s="153"/>
      <c r="HB285" s="153"/>
      <c r="HC285" s="153"/>
      <c r="HD285" s="153"/>
      <c r="HE285" s="153"/>
      <c r="HF285" s="153"/>
      <c r="HG285" s="153" t="e">
        <f>HG213+HG263+HG269+HG244+HG279+HG231+HG253</f>
        <v>#REF!</v>
      </c>
      <c r="HH285" s="153" t="e">
        <f>HH213+HH263+HH269+HH244+HH279+HH231</f>
        <v>#REF!</v>
      </c>
      <c r="HI285" s="153">
        <f t="shared" ref="HI285:HN285" si="625">HI213+HI263+HI269+HI244+HI279</f>
        <v>0</v>
      </c>
      <c r="HJ285" s="153">
        <f t="shared" si="625"/>
        <v>0</v>
      </c>
      <c r="HK285" s="153" t="e">
        <f t="shared" si="625"/>
        <v>#REF!</v>
      </c>
      <c r="HL285" s="153" t="e">
        <f t="shared" si="625"/>
        <v>#REF!</v>
      </c>
      <c r="HM285" s="153">
        <f t="shared" si="625"/>
        <v>0</v>
      </c>
      <c r="HN285" s="153">
        <f t="shared" si="625"/>
        <v>0</v>
      </c>
      <c r="HO285" s="153" t="e">
        <f>HO213+HO263+HO269+HO244+HO279+HO231+HO253</f>
        <v>#REF!</v>
      </c>
      <c r="HP285" s="153" t="e">
        <f>HP213+HP263+HP269+HP244+HP279+HP231</f>
        <v>#REF!</v>
      </c>
      <c r="HQ285" s="153">
        <f>HQ213+HQ263+HQ269+HQ244+HQ279</f>
        <v>35432.549619999998</v>
      </c>
      <c r="HR285" s="153">
        <f>HR213+HR263+HR269+HR244+HR279</f>
        <v>1037972.3</v>
      </c>
      <c r="HS285" s="153" t="e">
        <f>HS213+HS263+HS269+HS244+HS279+HS231+HS253</f>
        <v>#REF!</v>
      </c>
      <c r="HT285" s="153" t="e">
        <f>HT213+HT263+HT269+HT244+HT279+HT231</f>
        <v>#REF!</v>
      </c>
      <c r="HU285" s="153">
        <f>HU213+HU263+HU269+HU244+HU279</f>
        <v>35933.460270000003</v>
      </c>
      <c r="HV285" s="153">
        <f>HV213+HV263+HV269+HV244+HV279</f>
        <v>861787.16299999994</v>
      </c>
      <c r="HW285" s="153" t="e">
        <f>HW213+HW263+HW269+HW244+HW279+HW231+HW253</f>
        <v>#REF!</v>
      </c>
      <c r="HX285" s="153" t="e">
        <f>HX213+HX263+HX269+HX244+HX279+HX231</f>
        <v>#REF!</v>
      </c>
      <c r="HY285" s="153">
        <f>HY213+HY263+HY269+HY244+HY279</f>
        <v>0</v>
      </c>
      <c r="HZ285" s="153">
        <f>HZ213+HZ263+HZ269+HZ244+HZ279</f>
        <v>-59671.516709999996</v>
      </c>
      <c r="IA285" s="153" t="e">
        <f>IA213+IA263+IA269+IA244+IA279+IA231+IA253</f>
        <v>#REF!</v>
      </c>
      <c r="IB285" s="153" t="e">
        <f>IB213+IB263+IB269+IB244+IB279+IB231</f>
        <v>#REF!</v>
      </c>
      <c r="IC285" s="153">
        <f>IC213+IC263+IC269+IC244+IC279</f>
        <v>35933.460270000003</v>
      </c>
      <c r="ID285" s="153">
        <f>ID213+ID263+ID269+ID244+ID279</f>
        <v>802115.64628999995</v>
      </c>
      <c r="IE285" s="216"/>
      <c r="IF285" s="157"/>
      <c r="IG285" s="157"/>
      <c r="IH285" s="157"/>
    </row>
    <row r="286" spans="2:249" s="214" customFormat="1" ht="36" customHeight="1" x14ac:dyDescent="0.25">
      <c r="B286" s="310"/>
      <c r="C286" s="311" t="s">
        <v>131</v>
      </c>
      <c r="D286" s="312"/>
      <c r="E286" s="105"/>
      <c r="F286" s="105"/>
      <c r="G286" s="105"/>
      <c r="H286" s="144"/>
      <c r="I286" s="105"/>
      <c r="J286" s="105"/>
      <c r="K286" s="105"/>
      <c r="L286" s="105"/>
      <c r="M286" s="105"/>
      <c r="N286" s="144"/>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6"/>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c r="BJ286" s="105"/>
      <c r="BK286" s="106"/>
      <c r="BL286" s="106"/>
      <c r="BM286" s="105"/>
      <c r="BN286" s="105"/>
      <c r="BO286" s="105"/>
      <c r="BP286" s="105"/>
      <c r="BQ286" s="105"/>
      <c r="BR286" s="105"/>
      <c r="BS286" s="105"/>
      <c r="BT286" s="105"/>
      <c r="BU286" s="105"/>
      <c r="BV286" s="105"/>
      <c r="BW286" s="105"/>
      <c r="BX286" s="105"/>
      <c r="BY286" s="105"/>
      <c r="BZ286" s="105"/>
      <c r="CA286" s="105"/>
      <c r="CB286" s="105"/>
      <c r="CC286" s="105"/>
      <c r="CD286" s="105"/>
      <c r="CE286" s="106"/>
      <c r="CF286" s="106"/>
      <c r="CG286" s="105"/>
      <c r="CH286" s="105"/>
      <c r="CI286" s="105"/>
      <c r="CJ286" s="105"/>
      <c r="CK286" s="105"/>
      <c r="CL286" s="105"/>
      <c r="CM286" s="105"/>
      <c r="CN286" s="105"/>
      <c r="CO286" s="105"/>
      <c r="CP286" s="105"/>
      <c r="CQ286" s="105"/>
      <c r="CR286" s="105"/>
      <c r="CS286" s="105"/>
      <c r="CT286" s="105"/>
      <c r="CU286" s="105"/>
      <c r="CV286" s="105"/>
      <c r="CW286" s="105"/>
      <c r="CX286" s="105"/>
      <c r="CY286" s="105"/>
      <c r="CZ286" s="105"/>
      <c r="DA286" s="105"/>
      <c r="DB286" s="105"/>
      <c r="DC286" s="105"/>
      <c r="DD286" s="105"/>
      <c r="DE286" s="105"/>
      <c r="DF286" s="105"/>
      <c r="DG286" s="105"/>
      <c r="DH286" s="105"/>
      <c r="DI286" s="105"/>
      <c r="DJ286" s="105"/>
      <c r="DK286" s="105"/>
      <c r="DL286" s="105"/>
      <c r="DM286" s="105"/>
      <c r="DN286" s="105"/>
      <c r="DO286" s="105"/>
      <c r="DP286" s="105"/>
      <c r="DQ286" s="105"/>
      <c r="DR286" s="105"/>
      <c r="DS286" s="105"/>
      <c r="DT286" s="105"/>
      <c r="DU286" s="105"/>
      <c r="DV286" s="105"/>
      <c r="DW286" s="105"/>
      <c r="DX286" s="105"/>
      <c r="DY286" s="105"/>
      <c r="DZ286" s="105"/>
      <c r="EA286" s="105"/>
      <c r="EB286" s="105"/>
      <c r="EC286" s="105"/>
      <c r="ED286" s="105"/>
      <c r="EE286" s="105"/>
      <c r="EF286" s="105"/>
      <c r="EG286" s="105" t="e">
        <f>EH286+EI286+EJ286</f>
        <v>#REF!</v>
      </c>
      <c r="EH286" s="105" t="e">
        <f>EH213+EH244+EH263+EH269+EH277+EH279</f>
        <v>#REF!</v>
      </c>
      <c r="EI286" s="105">
        <f>EI213+EI244+EI263+EI269+EI277+EI279</f>
        <v>34587.546999999999</v>
      </c>
      <c r="EJ286" s="105">
        <f>EJ213+EJ244+EJ263+EJ269+EJ277+EJ279</f>
        <v>999342.11317999999</v>
      </c>
      <c r="EK286" s="105" t="e">
        <f>EL286+EM286+EN286</f>
        <v>#REF!</v>
      </c>
      <c r="EL286" s="105" t="e">
        <f>EL213+EL244+EL263+EL269+EL277+EL279</f>
        <v>#REF!</v>
      </c>
      <c r="EM286" s="105" t="e">
        <f>EM213+EM244+EM263+EM269+EM277+EM279</f>
        <v>#REF!</v>
      </c>
      <c r="EN286" s="105" t="e">
        <f>EN213+EN244+EN263+EN269+EN277+EN279</f>
        <v>#REF!</v>
      </c>
      <c r="EO286" s="105"/>
      <c r="EP286" s="105"/>
      <c r="EQ286" s="105"/>
      <c r="ER286" s="105"/>
      <c r="ES286" s="105" t="e">
        <f>ET286+EU286+EV286</f>
        <v>#REF!</v>
      </c>
      <c r="ET286" s="105" t="e">
        <f>ET213+ET244+ET263+ET269+ET277+ET279</f>
        <v>#REF!</v>
      </c>
      <c r="EU286" s="105">
        <f>EU213+EU244+EU263+EU269+EU277+EU279</f>
        <v>0</v>
      </c>
      <c r="EV286" s="105">
        <f>EV213+EV244+EV263+EV269+EV277+EV279</f>
        <v>-7127.2687499999302</v>
      </c>
      <c r="EW286" s="105"/>
      <c r="EX286" s="105"/>
      <c r="EY286" s="105"/>
      <c r="EZ286" s="105"/>
      <c r="FA286" s="105"/>
      <c r="FB286" s="105"/>
      <c r="FC286" s="103">
        <f>FD286+FE286+FF286</f>
        <v>9698404.4516500011</v>
      </c>
      <c r="FD286" s="103">
        <f>FD214+FD245+FD263+FD269+FD277+FD279</f>
        <v>8238871.5602200003</v>
      </c>
      <c r="FE286" s="103">
        <f>FE213+FE249+FE263+FE269+FE277+FE279</f>
        <v>34587.546999999999</v>
      </c>
      <c r="FF286" s="103">
        <f>FF214+FF245+FF263+FF269+FF279</f>
        <v>1424945.3444300001</v>
      </c>
      <c r="FG286" s="103">
        <f>FH286+FI286+FJ286</f>
        <v>-547678.23214000009</v>
      </c>
      <c r="FH286" s="104">
        <f>FH213+FH249+FH263+FH269+FH277+FH279+FH231</f>
        <v>-512550.63214000012</v>
      </c>
      <c r="FI286" s="103">
        <f>FI213+FI244+FI263+FI269+FI277+FI279</f>
        <v>0</v>
      </c>
      <c r="FJ286" s="103">
        <f>FJ213+FJ244+FJ263+FJ269+FJ277+FJ279</f>
        <v>-35127.599999999977</v>
      </c>
      <c r="FK286" s="103"/>
      <c r="FL286" s="103"/>
      <c r="FM286" s="103"/>
      <c r="FN286" s="103"/>
      <c r="FO286" s="103">
        <f>FP286+FQ286+FR286</f>
        <v>7451660.8214200009</v>
      </c>
      <c r="FP286" s="104">
        <f>FP213+FP249+FP263+FP269+FP277+FP279+FP231</f>
        <v>6024858.429990001</v>
      </c>
      <c r="FQ286" s="103">
        <f>FQ213+FQ244+FQ263+FQ269+FQ277+FQ279</f>
        <v>34587.546999999999</v>
      </c>
      <c r="FR286" s="103">
        <f>FR213+FR244+FR263+FR269+FR277+FR279</f>
        <v>1392214.8444300001</v>
      </c>
      <c r="FS286" s="103">
        <f>FU286+FW286+FY286</f>
        <v>5328020.8973399997</v>
      </c>
      <c r="FT286" s="580">
        <f t="shared" si="615"/>
        <v>0.54937087063156431</v>
      </c>
      <c r="FU286" s="103">
        <f>FU214+FU245+FU263+FU269+FU277+FU279</f>
        <v>4734452.8604199998</v>
      </c>
      <c r="FV286" s="580">
        <f t="shared" si="616"/>
        <v>0.57464821800105559</v>
      </c>
      <c r="FW286" s="103">
        <f>FW213+FW249+FW263+FW269+FW277+FW279</f>
        <v>20089.679530000001</v>
      </c>
      <c r="FX286" s="580">
        <f t="shared" ref="FX286" si="626">FW286/FE286</f>
        <v>0.58083562647562148</v>
      </c>
      <c r="FY286" s="103">
        <f>FY213+FY249+FY263+FY269+FY277+FY279</f>
        <v>573478.35739000002</v>
      </c>
      <c r="FZ286" s="580">
        <f t="shared" ref="FZ286:FZ288" si="627">FY286/FF286</f>
        <v>0.40245638868303413</v>
      </c>
      <c r="GA286" s="103">
        <f>GC286+GE286+GG286</f>
        <v>5225240.2998699993</v>
      </c>
      <c r="GB286" s="580">
        <f>GA286/FC286</f>
        <v>0.53877318954057674</v>
      </c>
      <c r="GC286" s="103">
        <f>GC214+GC245+GC263+GC269+GC277+GC279</f>
        <v>4633435.4204000002</v>
      </c>
      <c r="GD286" s="580">
        <f>GC286/FD286</f>
        <v>0.56238714082784835</v>
      </c>
      <c r="GE286" s="103">
        <f>GE213+GE244+GE263+GE269+GE277+GE279</f>
        <v>18326.522079999999</v>
      </c>
      <c r="GF286" s="580">
        <f>GE286/FE286</f>
        <v>0.52985897149630179</v>
      </c>
      <c r="GG286" s="103">
        <f>GG213+GG249+GG263+GG269+GG277+GG279</f>
        <v>573478.35739000002</v>
      </c>
      <c r="GH286" s="580">
        <f>GG286/FF286</f>
        <v>0.40245638868303413</v>
      </c>
      <c r="GI286" s="103">
        <f>GK286+GM286+GO286</f>
        <v>7986000.787870001</v>
      </c>
      <c r="GJ286" s="580">
        <f t="shared" si="611"/>
        <v>0.8234344966414896</v>
      </c>
      <c r="GK286" s="103">
        <f>GK214+GK245+GK263+GK269+GK277+GK279</f>
        <v>6536259.7209200002</v>
      </c>
      <c r="GL286" s="580">
        <f t="shared" si="612"/>
        <v>0.79334404877474074</v>
      </c>
      <c r="GM286" s="103">
        <f>GM213+GM244+GM263+GM269+GM277+GM279</f>
        <v>30212.98113</v>
      </c>
      <c r="GN286" s="580">
        <f t="shared" ref="GN286" si="628">GM286/FE286</f>
        <v>0.87352193926906707</v>
      </c>
      <c r="GO286" s="103">
        <f>GO213+GO263+GO269+GO277+GO279</f>
        <v>1419528.0858200002</v>
      </c>
      <c r="GP286" s="580">
        <f t="shared" ref="GP286:GP288" si="629">GO286/FF286</f>
        <v>0.99619826919595511</v>
      </c>
      <c r="GQ286" s="105"/>
      <c r="GR286" s="105"/>
      <c r="GS286" s="105"/>
      <c r="GT286" s="105"/>
      <c r="GU286" s="105" t="e">
        <f>GV286+GW286+GX286</f>
        <v>#REF!</v>
      </c>
      <c r="GV286" s="104" t="e">
        <f>GV213+GV249+GV263+GV269+GV277+GV279+GV231</f>
        <v>#REF!</v>
      </c>
      <c r="GW286" s="105">
        <f>GW213+GW244+GW263+GW269+GW277+GW279</f>
        <v>35432.549619999998</v>
      </c>
      <c r="GX286" s="105">
        <f>GX213+GX244+GX263+GX269+GX277+GX279</f>
        <v>1037972.3</v>
      </c>
      <c r="GY286" s="144"/>
      <c r="GZ286" s="144"/>
      <c r="HA286" s="144"/>
      <c r="HB286" s="144"/>
      <c r="HC286" s="144"/>
      <c r="HD286" s="144"/>
      <c r="HE286" s="144"/>
      <c r="HF286" s="144"/>
      <c r="HG286" s="105" t="e">
        <f>HH286+HI286+HJ286</f>
        <v>#REF!</v>
      </c>
      <c r="HH286" s="104" t="e">
        <f>HH213+HH249+HH263+HH269+HH277+HH279+HH231</f>
        <v>#REF!</v>
      </c>
      <c r="HI286" s="105">
        <f>HI213+HI244+HI263+HI269+HI277+HI279</f>
        <v>0</v>
      </c>
      <c r="HJ286" s="105">
        <f>HJ213+HJ244+HJ263+HJ269+HJ277+HJ279</f>
        <v>0</v>
      </c>
      <c r="HK286" s="105" t="e">
        <f>HL286+HM286+HN286</f>
        <v>#REF!</v>
      </c>
      <c r="HL286" s="105" t="e">
        <f>HL213+HL244+HL263+HL269+HL277+HL279</f>
        <v>#REF!</v>
      </c>
      <c r="HM286" s="105">
        <f>HM213+HM244+HM263+HM269+HM277+HM279</f>
        <v>0</v>
      </c>
      <c r="HN286" s="105">
        <f>HN213+HN244+HN263+HN269+HN277+HN279</f>
        <v>0</v>
      </c>
      <c r="HO286" s="105" t="e">
        <f>HP286+HQ286+HR286</f>
        <v>#REF!</v>
      </c>
      <c r="HP286" s="104" t="e">
        <f>HP213+HP249+HP263+HP269+HP277+HP279+HP231</f>
        <v>#REF!</v>
      </c>
      <c r="HQ286" s="105">
        <f>HQ213+HQ244+HQ263+HQ269+HQ277+HQ279</f>
        <v>35432.549619999998</v>
      </c>
      <c r="HR286" s="105">
        <f>HR213+HR244+HR263+HR269+HR277+HR279</f>
        <v>1037972.3</v>
      </c>
      <c r="HS286" s="105" t="e">
        <f>HT286+HU286+HV286</f>
        <v>#REF!</v>
      </c>
      <c r="HT286" s="104" t="e">
        <f>HT213+HT249+HT263+HT269+HT277+HT279+HT231</f>
        <v>#REF!</v>
      </c>
      <c r="HU286" s="105">
        <f>HU213+HU244+HU263+HU269+HU277+HU279</f>
        <v>35933.460270000003</v>
      </c>
      <c r="HV286" s="105">
        <f>HV213+HV244+HV263+HV269+HV277+HV279</f>
        <v>861787.16299999994</v>
      </c>
      <c r="HW286" s="105" t="e">
        <f>HX286</f>
        <v>#REF!</v>
      </c>
      <c r="HX286" s="104" t="e">
        <f>HX213+HX249+HX263+HX269+HX277+HX279+HX231</f>
        <v>#REF!</v>
      </c>
      <c r="HY286" s="105">
        <f>HY213+HY244+HY263+HY269+HY277+HY279</f>
        <v>0</v>
      </c>
      <c r="HZ286" s="105">
        <f>HZ213+HZ244+HZ263+HZ269+HZ277+HZ279</f>
        <v>-59671.516709999996</v>
      </c>
      <c r="IA286" s="105" t="e">
        <f>IB286+IC286+ID286</f>
        <v>#REF!</v>
      </c>
      <c r="IB286" s="104" t="e">
        <f>IB213+IB249+IB263+IB269+IB277+IB279+IB231</f>
        <v>#REF!</v>
      </c>
      <c r="IC286" s="105">
        <f>IC213+IC244+IC263+IC269+IC277+IC279</f>
        <v>35933.460270000003</v>
      </c>
      <c r="ID286" s="105">
        <f>ID213+ID244+ID263+ID269+ID277+ID279</f>
        <v>802115.64628999995</v>
      </c>
      <c r="IE286" s="198"/>
      <c r="IF286" s="141"/>
      <c r="IG286" s="141"/>
      <c r="IH286" s="141"/>
      <c r="II286" s="202"/>
      <c r="IJ286" s="202"/>
      <c r="IK286" s="202"/>
      <c r="IL286" s="202"/>
      <c r="IM286" s="202"/>
      <c r="IN286" s="202"/>
      <c r="IO286" s="202"/>
    </row>
    <row r="287" spans="2:249" s="127" customFormat="1" ht="68.25" customHeight="1" x14ac:dyDescent="0.25">
      <c r="B287" s="313"/>
      <c r="C287" s="314" t="s">
        <v>132</v>
      </c>
      <c r="D287" s="315"/>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20"/>
      <c r="AJ287" s="119"/>
      <c r="AK287" s="119"/>
      <c r="AL287" s="119"/>
      <c r="AM287" s="121"/>
      <c r="AN287" s="119"/>
      <c r="AO287" s="124"/>
      <c r="AP287" s="119"/>
      <c r="AQ287" s="119"/>
      <c r="AR287" s="119"/>
      <c r="AS287" s="119"/>
      <c r="AT287" s="119"/>
      <c r="AU287" s="119"/>
      <c r="AV287" s="119"/>
      <c r="AW287" s="119"/>
      <c r="AX287" s="119"/>
      <c r="AY287" s="119"/>
      <c r="AZ287" s="119"/>
      <c r="BA287" s="119"/>
      <c r="BB287" s="119"/>
      <c r="BC287" s="119"/>
      <c r="BD287" s="119"/>
      <c r="BE287" s="119"/>
      <c r="BF287" s="119"/>
      <c r="BG287" s="119"/>
      <c r="BH287" s="119"/>
      <c r="BI287" s="119"/>
      <c r="BJ287" s="119"/>
      <c r="BK287" s="124"/>
      <c r="BL287" s="124"/>
      <c r="BM287" s="124"/>
      <c r="BN287" s="124"/>
      <c r="BO287" s="124"/>
      <c r="BP287" s="124"/>
      <c r="BQ287" s="124"/>
      <c r="BR287" s="124"/>
      <c r="BS287" s="124"/>
      <c r="BT287" s="124"/>
      <c r="BU287" s="124"/>
      <c r="BV287" s="119"/>
      <c r="BW287" s="119"/>
      <c r="BX287" s="119"/>
      <c r="BY287" s="119"/>
      <c r="BZ287" s="119"/>
      <c r="CA287" s="119"/>
      <c r="CB287" s="119"/>
      <c r="CC287" s="119"/>
      <c r="CD287" s="119"/>
      <c r="CE287" s="124"/>
      <c r="CF287" s="124"/>
      <c r="CG287" s="119"/>
      <c r="CH287" s="119"/>
      <c r="CI287" s="119"/>
      <c r="CJ287" s="119"/>
      <c r="CK287" s="119"/>
      <c r="CL287" s="119"/>
      <c r="CM287" s="119"/>
      <c r="CN287" s="119"/>
      <c r="CO287" s="119"/>
      <c r="CP287" s="119"/>
      <c r="CQ287" s="119"/>
      <c r="CR287" s="119"/>
      <c r="CS287" s="119"/>
      <c r="CT287" s="119"/>
      <c r="CU287" s="119"/>
      <c r="CV287" s="119"/>
      <c r="CW287" s="119"/>
      <c r="CX287" s="119"/>
      <c r="CY287" s="119"/>
      <c r="CZ287" s="119"/>
      <c r="DA287" s="119"/>
      <c r="DB287" s="119"/>
      <c r="DC287" s="119"/>
      <c r="DD287" s="119"/>
      <c r="DE287" s="119"/>
      <c r="DF287" s="119"/>
      <c r="DG287" s="119"/>
      <c r="DH287" s="119"/>
      <c r="DI287" s="119"/>
      <c r="DJ287" s="119"/>
      <c r="DK287" s="119"/>
      <c r="DL287" s="119"/>
      <c r="DM287" s="119"/>
      <c r="DN287" s="119"/>
      <c r="DO287" s="119"/>
      <c r="DP287" s="119"/>
      <c r="DQ287" s="119"/>
      <c r="DR287" s="119"/>
      <c r="DS287" s="119"/>
      <c r="DT287" s="119"/>
      <c r="DU287" s="119"/>
      <c r="DV287" s="119"/>
      <c r="DW287" s="119"/>
      <c r="DX287" s="119"/>
      <c r="DY287" s="119"/>
      <c r="DZ287" s="119"/>
      <c r="EA287" s="119"/>
      <c r="EB287" s="119"/>
      <c r="EC287" s="119"/>
      <c r="ED287" s="119"/>
      <c r="EE287" s="119"/>
      <c r="EF287" s="119"/>
      <c r="EG287" s="119">
        <f>EH287+EI287+EJ287</f>
        <v>0</v>
      </c>
      <c r="EH287" s="119">
        <f>EH248</f>
        <v>0</v>
      </c>
      <c r="EI287" s="119">
        <f>EI248</f>
        <v>0</v>
      </c>
      <c r="EJ287" s="119">
        <f>EJ248</f>
        <v>0</v>
      </c>
      <c r="EK287" s="119">
        <f>EL287+EM287+EN287</f>
        <v>0</v>
      </c>
      <c r="EL287" s="119">
        <f>EL248</f>
        <v>0</v>
      </c>
      <c r="EM287" s="119">
        <f>EM248</f>
        <v>0</v>
      </c>
      <c r="EN287" s="119">
        <f>EN248</f>
        <v>0</v>
      </c>
      <c r="EO287" s="119"/>
      <c r="EP287" s="119"/>
      <c r="EQ287" s="119"/>
      <c r="ER287" s="119"/>
      <c r="ES287" s="119">
        <f>ET287+EU287+EV287</f>
        <v>0</v>
      </c>
      <c r="ET287" s="119">
        <f>ET248</f>
        <v>0</v>
      </c>
      <c r="EU287" s="119">
        <f>EU248</f>
        <v>0</v>
      </c>
      <c r="EV287" s="119">
        <f>EV248</f>
        <v>0</v>
      </c>
      <c r="EW287" s="119"/>
      <c r="EX287" s="119"/>
      <c r="EY287" s="119"/>
      <c r="EZ287" s="119"/>
      <c r="FA287" s="119"/>
      <c r="FB287" s="119"/>
      <c r="FC287" s="118">
        <f>FD287+FE287+FF287</f>
        <v>1000000</v>
      </c>
      <c r="FD287" s="118">
        <f>FD243+FD246</f>
        <v>946688.05799999996</v>
      </c>
      <c r="FE287" s="118">
        <f>FE248</f>
        <v>0</v>
      </c>
      <c r="FF287" s="118">
        <f>FF243+FF246</f>
        <v>53311.942000000003</v>
      </c>
      <c r="FG287" s="118">
        <f>FH287+FI287+FJ287</f>
        <v>53311.942000000003</v>
      </c>
      <c r="FH287" s="118">
        <f>FH248+FH254</f>
        <v>0</v>
      </c>
      <c r="FI287" s="118">
        <f>FI248+FI254</f>
        <v>0</v>
      </c>
      <c r="FJ287" s="118">
        <f>FJ248+FJ254</f>
        <v>53311.942000000003</v>
      </c>
      <c r="FK287" s="118"/>
      <c r="FL287" s="118"/>
      <c r="FM287" s="118"/>
      <c r="FN287" s="118"/>
      <c r="FO287" s="118">
        <f>FP287+FQ287+FR287</f>
        <v>500000</v>
      </c>
      <c r="FP287" s="118">
        <f>FP248+FP254</f>
        <v>446688.05800000002</v>
      </c>
      <c r="FQ287" s="118">
        <f>FQ248+FQ254</f>
        <v>0</v>
      </c>
      <c r="FR287" s="118">
        <f>FR248+FR254</f>
        <v>53311.942000000003</v>
      </c>
      <c r="FS287" s="631">
        <f>FU287+FW287+FY287</f>
        <v>898845.74448999995</v>
      </c>
      <c r="FT287" s="520">
        <f t="shared" si="615"/>
        <v>0.89884574448999999</v>
      </c>
      <c r="FU287" s="118">
        <f>FU243+FU246</f>
        <v>898845.74448999995</v>
      </c>
      <c r="FV287" s="520">
        <f t="shared" si="616"/>
        <v>0.94946348683105497</v>
      </c>
      <c r="FW287" s="118">
        <f>FW248</f>
        <v>0</v>
      </c>
      <c r="FX287" s="520">
        <v>0</v>
      </c>
      <c r="FY287" s="118">
        <f>FY254</f>
        <v>0</v>
      </c>
      <c r="FZ287" s="520">
        <f t="shared" si="627"/>
        <v>0</v>
      </c>
      <c r="GA287" s="631">
        <f>GC287+GE287+GG287</f>
        <v>898845.74448999995</v>
      </c>
      <c r="GB287" s="520">
        <f>GA287/FC287</f>
        <v>0.89884574448999999</v>
      </c>
      <c r="GC287" s="118">
        <f>GC243+GC246</f>
        <v>898845.74448999995</v>
      </c>
      <c r="GD287" s="520">
        <f>GC287/FD287</f>
        <v>0.94946348683105497</v>
      </c>
      <c r="GE287" s="118">
        <f>GE248</f>
        <v>0</v>
      </c>
      <c r="GF287" s="520">
        <v>0</v>
      </c>
      <c r="GG287" s="118">
        <f>GG254</f>
        <v>0</v>
      </c>
      <c r="GH287" s="520">
        <f>GG287/FF287</f>
        <v>0</v>
      </c>
      <c r="GI287" s="631">
        <f>GK287+GM287+GO287</f>
        <v>949439.22349</v>
      </c>
      <c r="GJ287" s="520">
        <f t="shared" si="611"/>
        <v>0.94943922348999998</v>
      </c>
      <c r="GK287" s="118">
        <f>GK243+GK246</f>
        <v>898845.74448999995</v>
      </c>
      <c r="GL287" s="520">
        <f t="shared" si="612"/>
        <v>0.94946348683105497</v>
      </c>
      <c r="GM287" s="118">
        <f>GM248</f>
        <v>0</v>
      </c>
      <c r="GN287" s="520">
        <v>0</v>
      </c>
      <c r="GO287" s="118">
        <f>GO254</f>
        <v>50593.478999999999</v>
      </c>
      <c r="GP287" s="520">
        <f t="shared" si="629"/>
        <v>0.94900836664325594</v>
      </c>
      <c r="GQ287" s="119"/>
      <c r="GR287" s="119"/>
      <c r="GS287" s="119"/>
      <c r="GT287" s="119"/>
      <c r="GU287" s="119">
        <f>GV287+GW287+GX287</f>
        <v>0</v>
      </c>
      <c r="GV287" s="119">
        <f>GV248+GV254</f>
        <v>0</v>
      </c>
      <c r="GW287" s="119">
        <f>GW248</f>
        <v>0</v>
      </c>
      <c r="GX287" s="119">
        <f>GX248</f>
        <v>0</v>
      </c>
      <c r="GY287" s="119"/>
      <c r="GZ287" s="119"/>
      <c r="HA287" s="119"/>
      <c r="HB287" s="119"/>
      <c r="HC287" s="119"/>
      <c r="HD287" s="119"/>
      <c r="HE287" s="119"/>
      <c r="HF287" s="119"/>
      <c r="HG287" s="119">
        <f>HH287+HI287+HJ287</f>
        <v>0</v>
      </c>
      <c r="HH287" s="119">
        <f>HH248+HH254</f>
        <v>0</v>
      </c>
      <c r="HI287" s="119">
        <f>HI248</f>
        <v>0</v>
      </c>
      <c r="HJ287" s="119">
        <f>HJ248</f>
        <v>0</v>
      </c>
      <c r="HK287" s="272">
        <f>HL287+HM287+HN287</f>
        <v>0</v>
      </c>
      <c r="HL287" s="119">
        <f>HL248</f>
        <v>0</v>
      </c>
      <c r="HM287" s="119">
        <f>HM248</f>
        <v>0</v>
      </c>
      <c r="HN287" s="119">
        <f>HN248</f>
        <v>0</v>
      </c>
      <c r="HO287" s="119">
        <f>HP287+HQ287+HR287</f>
        <v>0</v>
      </c>
      <c r="HP287" s="119">
        <f>HP248+HP254</f>
        <v>0</v>
      </c>
      <c r="HQ287" s="119">
        <f>HQ248</f>
        <v>0</v>
      </c>
      <c r="HR287" s="119">
        <f>HR248</f>
        <v>0</v>
      </c>
      <c r="HS287" s="119">
        <f>HT287+HU287+HV287</f>
        <v>0</v>
      </c>
      <c r="HT287" s="119">
        <f>HT248+HT254</f>
        <v>0</v>
      </c>
      <c r="HU287" s="119">
        <f>HU248</f>
        <v>0</v>
      </c>
      <c r="HV287" s="119">
        <f>HV248</f>
        <v>0</v>
      </c>
      <c r="HW287" s="119">
        <f>HX287</f>
        <v>0</v>
      </c>
      <c r="HX287" s="119">
        <f>HX248+HX254</f>
        <v>0</v>
      </c>
      <c r="HY287" s="119">
        <f>HY248</f>
        <v>0</v>
      </c>
      <c r="HZ287" s="119">
        <f>HZ248</f>
        <v>0</v>
      </c>
      <c r="IA287" s="119">
        <f>IB287+IC287+ID287</f>
        <v>0</v>
      </c>
      <c r="IB287" s="119">
        <f>IB248+IB254</f>
        <v>0</v>
      </c>
      <c r="IC287" s="119">
        <f>IC248</f>
        <v>0</v>
      </c>
      <c r="ID287" s="119">
        <f>ID248</f>
        <v>0</v>
      </c>
      <c r="IE287" s="125"/>
      <c r="IF287" s="126"/>
      <c r="IG287" s="126"/>
      <c r="IH287" s="126"/>
    </row>
    <row r="288" spans="2:249" s="233" customFormat="1" ht="69" customHeight="1" x14ac:dyDescent="0.25">
      <c r="B288" s="736" t="s">
        <v>490</v>
      </c>
      <c r="C288" s="737"/>
      <c r="D288" s="316"/>
      <c r="E288" s="148" t="e">
        <f>#REF!+E121</f>
        <v>#REF!</v>
      </c>
      <c r="F288" s="148"/>
      <c r="G288" s="148" t="e">
        <f>#REF!+G121</f>
        <v>#REF!</v>
      </c>
      <c r="H288" s="148" t="e">
        <f>#REF!+H121</f>
        <v>#REF!</v>
      </c>
      <c r="I288" s="148"/>
      <c r="J288" s="148" t="e">
        <f>#REF!+J121</f>
        <v>#REF!</v>
      </c>
      <c r="K288" s="148" t="e">
        <f>#REF!+K121</f>
        <v>#REF!</v>
      </c>
      <c r="L288" s="148"/>
      <c r="M288" s="148" t="e">
        <f>#REF!+M121</f>
        <v>#REF!</v>
      </c>
      <c r="N288" s="148" t="e">
        <f>#REF!+N121</f>
        <v>#REF!</v>
      </c>
      <c r="O288" s="148"/>
      <c r="P288" s="148" t="e">
        <f>#REF!+P121</f>
        <v>#REF!</v>
      </c>
      <c r="Q288" s="148" t="e">
        <f>#REF!+Q121</f>
        <v>#REF!</v>
      </c>
      <c r="R288" s="148"/>
      <c r="S288" s="148" t="e">
        <f>#REF!+S121</f>
        <v>#REF!</v>
      </c>
      <c r="T288" s="148" t="e">
        <f>#REF!+T121</f>
        <v>#REF!</v>
      </c>
      <c r="U288" s="148" t="e">
        <f>#REF!+U121</f>
        <v>#REF!</v>
      </c>
      <c r="V288" s="148" t="e">
        <f>#REF!+V121</f>
        <v>#REF!</v>
      </c>
      <c r="W288" s="148" t="e">
        <f>#REF!+W121</f>
        <v>#REF!</v>
      </c>
      <c r="X288" s="148" t="e">
        <f>#REF!+X121</f>
        <v>#REF!</v>
      </c>
      <c r="Y288" s="148" t="e">
        <f>#REF!+Y121</f>
        <v>#REF!</v>
      </c>
      <c r="Z288" s="148">
        <f>Z263</f>
        <v>261568.7</v>
      </c>
      <c r="AA288" s="148">
        <f>AA264</f>
        <v>0</v>
      </c>
      <c r="AB288" s="148">
        <f>AB263</f>
        <v>261568.7</v>
      </c>
      <c r="AC288" s="148">
        <f>AC263</f>
        <v>0</v>
      </c>
      <c r="AD288" s="148">
        <f>AD264</f>
        <v>0</v>
      </c>
      <c r="AE288" s="148">
        <f>AE263</f>
        <v>0</v>
      </c>
      <c r="AF288" s="148" t="e">
        <f>AF263</f>
        <v>#REF!</v>
      </c>
      <c r="AG288" s="148">
        <f>AG264</f>
        <v>0</v>
      </c>
      <c r="AH288" s="148" t="e">
        <f t="shared" ref="AH288:AN288" si="630">AH263</f>
        <v>#REF!</v>
      </c>
      <c r="AI288" s="148">
        <f t="shared" si="630"/>
        <v>0</v>
      </c>
      <c r="AJ288" s="148">
        <f t="shared" si="630"/>
        <v>0</v>
      </c>
      <c r="AK288" s="148">
        <f t="shared" si="630"/>
        <v>261568.7</v>
      </c>
      <c r="AL288" s="148" t="e">
        <f t="shared" si="630"/>
        <v>#REF!</v>
      </c>
      <c r="AM288" s="148" t="str">
        <f t="shared" si="630"/>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- 2,0 км.</v>
      </c>
      <c r="AN288" s="148" t="str">
        <f t="shared" si="630"/>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- 2,5 км.</v>
      </c>
      <c r="AO288" s="317">
        <v>1</v>
      </c>
      <c r="AP288" s="148">
        <f>AP263</f>
        <v>0</v>
      </c>
      <c r="AQ288" s="148">
        <f>AQ263</f>
        <v>0</v>
      </c>
      <c r="AR288" s="148" t="e">
        <f>AR263</f>
        <v>#REF!</v>
      </c>
      <c r="AS288" s="148">
        <f>AS263</f>
        <v>248761.3</v>
      </c>
      <c r="AT288" s="148">
        <f>AT264</f>
        <v>0</v>
      </c>
      <c r="AU288" s="148">
        <f>AU263</f>
        <v>248761.3</v>
      </c>
      <c r="AV288" s="148">
        <f>AV263</f>
        <v>0</v>
      </c>
      <c r="AW288" s="148">
        <f>AW264</f>
        <v>0</v>
      </c>
      <c r="AX288" s="148">
        <f>AX263</f>
        <v>0</v>
      </c>
      <c r="AY288" s="148">
        <f>AY263</f>
        <v>248761.3</v>
      </c>
      <c r="AZ288" s="148">
        <f>AZ264</f>
        <v>0</v>
      </c>
      <c r="BA288" s="148">
        <f>BA263</f>
        <v>248761.3</v>
      </c>
      <c r="BB288" s="148" t="e">
        <f>#REF!+BB121</f>
        <v>#REF!</v>
      </c>
      <c r="BC288" s="148"/>
      <c r="BD288" s="148" t="e">
        <f>#REF!+BD121</f>
        <v>#REF!</v>
      </c>
      <c r="BE288" s="148" t="e">
        <f>#REF!+BE121</f>
        <v>#REF!</v>
      </c>
      <c r="BF288" s="148"/>
      <c r="BG288" s="148" t="e">
        <f>#REF!+BG121</f>
        <v>#REF!</v>
      </c>
      <c r="BH288" s="148">
        <f>BH263</f>
        <v>409591.25300000003</v>
      </c>
      <c r="BI288" s="148">
        <f>BI264</f>
        <v>0</v>
      </c>
      <c r="BJ288" s="148">
        <f>BJ263</f>
        <v>409591.25300000003</v>
      </c>
      <c r="BK288" s="317">
        <v>1</v>
      </c>
      <c r="BL288" s="317">
        <f>BL263</f>
        <v>248761.3</v>
      </c>
      <c r="BM288" s="148">
        <f>BM263</f>
        <v>0</v>
      </c>
      <c r="BN288" s="148">
        <f>BN264</f>
        <v>0</v>
      </c>
      <c r="BO288" s="148">
        <f>BO263</f>
        <v>0</v>
      </c>
      <c r="BP288" s="148">
        <f>BP263</f>
        <v>0</v>
      </c>
      <c r="BQ288" s="148">
        <f>BQ264</f>
        <v>0</v>
      </c>
      <c r="BR288" s="148">
        <f>BR263</f>
        <v>0</v>
      </c>
      <c r="BS288" s="148">
        <f>BS263</f>
        <v>409591.25300000003</v>
      </c>
      <c r="BT288" s="148">
        <f>BT264</f>
        <v>0</v>
      </c>
      <c r="BU288" s="148">
        <f>BU263</f>
        <v>409591.25300000003</v>
      </c>
      <c r="BV288" s="148">
        <f>BV263</f>
        <v>248761.3</v>
      </c>
      <c r="BW288" s="148">
        <f>BW264</f>
        <v>0</v>
      </c>
      <c r="BX288" s="148">
        <f>BX263</f>
        <v>248761.3</v>
      </c>
      <c r="BY288" s="148">
        <f>BY263</f>
        <v>-54591.252999999997</v>
      </c>
      <c r="BZ288" s="148">
        <f>BZ264</f>
        <v>0</v>
      </c>
      <c r="CA288" s="148">
        <f>CA263</f>
        <v>-54591.252999999997</v>
      </c>
      <c r="CB288" s="148">
        <f>CB263</f>
        <v>355000</v>
      </c>
      <c r="CC288" s="148">
        <f>CC264</f>
        <v>0</v>
      </c>
      <c r="CD288" s="148">
        <f>CD263</f>
        <v>355000</v>
      </c>
      <c r="CE288" s="148">
        <v>1</v>
      </c>
      <c r="CF288" s="148">
        <f>CF263</f>
        <v>248761.3</v>
      </c>
      <c r="CG288" s="148"/>
      <c r="CH288" s="148" t="e">
        <f>CH263</f>
        <v>#REF!</v>
      </c>
      <c r="CI288" s="148">
        <f>CI264</f>
        <v>0</v>
      </c>
      <c r="CJ288" s="148" t="e">
        <f>CJ263</f>
        <v>#REF!</v>
      </c>
      <c r="CK288" s="148" t="e">
        <f>CK263</f>
        <v>#REF!</v>
      </c>
      <c r="CL288" s="148">
        <f>CL264</f>
        <v>0</v>
      </c>
      <c r="CM288" s="148" t="e">
        <f>CM263</f>
        <v>#REF!</v>
      </c>
      <c r="CN288" s="148">
        <f>CN263</f>
        <v>0</v>
      </c>
      <c r="CO288" s="148">
        <f>CO264</f>
        <v>0</v>
      </c>
      <c r="CP288" s="148">
        <f>CP263</f>
        <v>0</v>
      </c>
      <c r="CQ288" s="148">
        <f>CQ263</f>
        <v>488740.28</v>
      </c>
      <c r="CR288" s="148">
        <f>CR264</f>
        <v>0</v>
      </c>
      <c r="CS288" s="148">
        <f>CS263</f>
        <v>488740.28</v>
      </c>
      <c r="CT288" s="148">
        <f>CT263</f>
        <v>340071</v>
      </c>
      <c r="CU288" s="148">
        <f>CU264</f>
        <v>0</v>
      </c>
      <c r="CV288" s="148">
        <f>CV263</f>
        <v>340071</v>
      </c>
      <c r="CW288" s="148">
        <f>CW263</f>
        <v>964852.10600000003</v>
      </c>
      <c r="CX288" s="148">
        <f>CX264</f>
        <v>0</v>
      </c>
      <c r="CY288" s="148">
        <f>CY263</f>
        <v>964852.10600000003</v>
      </c>
      <c r="CZ288" s="148">
        <f>CZ263</f>
        <v>488740.28</v>
      </c>
      <c r="DA288" s="148">
        <f>DA264</f>
        <v>0</v>
      </c>
      <c r="DB288" s="148">
        <f>DB263</f>
        <v>488740.28</v>
      </c>
      <c r="DC288" s="148">
        <f>DC263</f>
        <v>380350</v>
      </c>
      <c r="DD288" s="148">
        <f>DD264</f>
        <v>0</v>
      </c>
      <c r="DE288" s="148">
        <f>DE263</f>
        <v>380350</v>
      </c>
      <c r="DF288" s="148">
        <f>DF263</f>
        <v>0</v>
      </c>
      <c r="DG288" s="148">
        <f>DG264</f>
        <v>0</v>
      </c>
      <c r="DH288" s="148">
        <f>DH263</f>
        <v>0</v>
      </c>
      <c r="DI288" s="148">
        <f>DI263</f>
        <v>964852.10600000003</v>
      </c>
      <c r="DJ288" s="148">
        <f>DJ264</f>
        <v>0</v>
      </c>
      <c r="DK288" s="148">
        <f>DK263</f>
        <v>964852.10600000003</v>
      </c>
      <c r="DL288" s="148">
        <f>DL263</f>
        <v>0</v>
      </c>
      <c r="DM288" s="148">
        <f>DM264</f>
        <v>0</v>
      </c>
      <c r="DN288" s="148">
        <f>DN263</f>
        <v>0</v>
      </c>
      <c r="DO288" s="148">
        <f>DO263</f>
        <v>0</v>
      </c>
      <c r="DP288" s="148">
        <f>DP264</f>
        <v>0</v>
      </c>
      <c r="DQ288" s="148">
        <f>DQ263</f>
        <v>0</v>
      </c>
      <c r="DR288" s="148">
        <f>DR263</f>
        <v>964852.10600000003</v>
      </c>
      <c r="DS288" s="148">
        <f>DS264</f>
        <v>0</v>
      </c>
      <c r="DT288" s="148">
        <f>DT263</f>
        <v>964852.10600000003</v>
      </c>
      <c r="DU288" s="148">
        <f>DU263</f>
        <v>869090.28</v>
      </c>
      <c r="DV288" s="148">
        <f>DV264</f>
        <v>0</v>
      </c>
      <c r="DW288" s="148">
        <f>DW263</f>
        <v>869090.28</v>
      </c>
      <c r="DX288" s="148">
        <f>DX263</f>
        <v>274259.3</v>
      </c>
      <c r="DY288" s="148">
        <f>DY264</f>
        <v>0</v>
      </c>
      <c r="DZ288" s="148">
        <f>DZ263</f>
        <v>274259.3</v>
      </c>
      <c r="EA288" s="148">
        <f>EA263</f>
        <v>443142</v>
      </c>
      <c r="EB288" s="148">
        <f>EB264</f>
        <v>0</v>
      </c>
      <c r="EC288" s="148">
        <f>EC263</f>
        <v>443142</v>
      </c>
      <c r="ED288" s="148">
        <f>ED263</f>
        <v>0</v>
      </c>
      <c r="EE288" s="148">
        <f>EE264</f>
        <v>0</v>
      </c>
      <c r="EF288" s="148">
        <f>EF263</f>
        <v>0</v>
      </c>
      <c r="EG288" s="148">
        <f>EG263</f>
        <v>852734.6</v>
      </c>
      <c r="EH288" s="148">
        <f>EH264</f>
        <v>0</v>
      </c>
      <c r="EI288" s="148">
        <f>EI264</f>
        <v>0</v>
      </c>
      <c r="EJ288" s="148">
        <f>EJ263</f>
        <v>852734.6</v>
      </c>
      <c r="EK288" s="148">
        <f>EK263</f>
        <v>0</v>
      </c>
      <c r="EL288" s="148">
        <f>EL264</f>
        <v>0</v>
      </c>
      <c r="EM288" s="148"/>
      <c r="EN288" s="148">
        <f>EN263</f>
        <v>0</v>
      </c>
      <c r="EO288" s="148">
        <f>EO263</f>
        <v>0</v>
      </c>
      <c r="EP288" s="148">
        <f>EP264</f>
        <v>0</v>
      </c>
      <c r="EQ288" s="148"/>
      <c r="ER288" s="148">
        <f t="shared" ref="ER288:EW288" si="631">ER263</f>
        <v>0</v>
      </c>
      <c r="ES288" s="148">
        <f t="shared" si="631"/>
        <v>-107127.26874999993</v>
      </c>
      <c r="ET288" s="148">
        <f t="shared" si="631"/>
        <v>0</v>
      </c>
      <c r="EU288" s="148">
        <f t="shared" si="631"/>
        <v>0</v>
      </c>
      <c r="EV288" s="148">
        <f t="shared" si="631"/>
        <v>-107127.26874999993</v>
      </c>
      <c r="EW288" s="148">
        <f t="shared" si="631"/>
        <v>717401.3</v>
      </c>
      <c r="EX288" s="148">
        <f>EX264</f>
        <v>0</v>
      </c>
      <c r="EY288" s="148">
        <f>EY263</f>
        <v>717401.3</v>
      </c>
      <c r="EZ288" s="148">
        <f>EZ263</f>
        <v>0</v>
      </c>
      <c r="FA288" s="148">
        <f>FA264</f>
        <v>0</v>
      </c>
      <c r="FB288" s="148">
        <f>FB263</f>
        <v>0</v>
      </c>
      <c r="FC288" s="147">
        <f>FC263+FC253</f>
        <v>1207649.7732500001</v>
      </c>
      <c r="FD288" s="147">
        <f>FD264</f>
        <v>0</v>
      </c>
      <c r="FE288" s="147">
        <f>FE264</f>
        <v>0</v>
      </c>
      <c r="FF288" s="147">
        <f>FF263+FF253</f>
        <v>1207649.7732500001</v>
      </c>
      <c r="FG288" s="147">
        <f>FG263</f>
        <v>-11127.599999999977</v>
      </c>
      <c r="FH288" s="147">
        <f>FH264</f>
        <v>0</v>
      </c>
      <c r="FI288" s="147">
        <f>FI264</f>
        <v>0</v>
      </c>
      <c r="FJ288" s="147">
        <f>FJ263</f>
        <v>-11127.599999999977</v>
      </c>
      <c r="FK288" s="147">
        <f>FK263</f>
        <v>0</v>
      </c>
      <c r="FL288" s="147">
        <f>FL264</f>
        <v>0</v>
      </c>
      <c r="FM288" s="147"/>
      <c r="FN288" s="147">
        <f>FN263</f>
        <v>0</v>
      </c>
      <c r="FO288" s="147">
        <f>FO263</f>
        <v>1145607.33125</v>
      </c>
      <c r="FP288" s="147">
        <f>FP264</f>
        <v>0</v>
      </c>
      <c r="FQ288" s="147">
        <f>FQ264</f>
        <v>0</v>
      </c>
      <c r="FR288" s="147">
        <f>FR263</f>
        <v>1145607.33125</v>
      </c>
      <c r="FS288" s="147">
        <f>FU288+FW288+FY288</f>
        <v>364582.71830000001</v>
      </c>
      <c r="FT288" s="581">
        <f t="shared" si="615"/>
        <v>0.30189441208508916</v>
      </c>
      <c r="FU288" s="147">
        <f>FU264</f>
        <v>0</v>
      </c>
      <c r="FV288" s="581">
        <v>0</v>
      </c>
      <c r="FW288" s="147">
        <f>FW264</f>
        <v>0</v>
      </c>
      <c r="FX288" s="581">
        <v>0</v>
      </c>
      <c r="FY288" s="147">
        <f>FY263+FY253</f>
        <v>364582.71830000001</v>
      </c>
      <c r="FZ288" s="581">
        <f t="shared" si="627"/>
        <v>0.30189441208508916</v>
      </c>
      <c r="GA288" s="147">
        <f>GC288+GE288+GG288</f>
        <v>364582.71830000001</v>
      </c>
      <c r="GB288" s="581">
        <f>GA288/FC288</f>
        <v>0.30189441208508916</v>
      </c>
      <c r="GC288" s="147">
        <f>GC264</f>
        <v>0</v>
      </c>
      <c r="GD288" s="581"/>
      <c r="GE288" s="148"/>
      <c r="GF288" s="581"/>
      <c r="GG288" s="147">
        <f>GG263+GG253</f>
        <v>364582.71830000001</v>
      </c>
      <c r="GH288" s="581">
        <f>GG288/FF288</f>
        <v>0.30189441208508916</v>
      </c>
      <c r="GI288" s="147">
        <f>GK288+GM288+GO288</f>
        <v>1199594.0456400001</v>
      </c>
      <c r="GJ288" s="581">
        <f t="shared" si="611"/>
        <v>0.99332941736218727</v>
      </c>
      <c r="GK288" s="147">
        <f>GK264</f>
        <v>0</v>
      </c>
      <c r="GL288" s="581">
        <v>0</v>
      </c>
      <c r="GM288" s="147">
        <v>0</v>
      </c>
      <c r="GN288" s="581">
        <v>0</v>
      </c>
      <c r="GO288" s="147">
        <f>GO263+GO253</f>
        <v>1199594.0456400001</v>
      </c>
      <c r="GP288" s="581">
        <f t="shared" si="629"/>
        <v>0.99332941736218727</v>
      </c>
      <c r="GQ288" s="148"/>
      <c r="GR288" s="148"/>
      <c r="GS288" s="148"/>
      <c r="GT288" s="148"/>
      <c r="GU288" s="148">
        <f>GU263</f>
        <v>937972.3</v>
      </c>
      <c r="GV288" s="148">
        <f>GV264</f>
        <v>0</v>
      </c>
      <c r="GW288" s="148">
        <f>GW264</f>
        <v>0</v>
      </c>
      <c r="GX288" s="148">
        <f>GX263</f>
        <v>937972.3</v>
      </c>
      <c r="GY288" s="148"/>
      <c r="GZ288" s="148"/>
      <c r="HA288" s="148"/>
      <c r="HB288" s="148"/>
      <c r="HC288" s="148"/>
      <c r="HD288" s="148"/>
      <c r="HE288" s="148"/>
      <c r="HF288" s="148"/>
      <c r="HG288" s="148">
        <f t="shared" ref="HG288:HO288" si="632">HG263</f>
        <v>0</v>
      </c>
      <c r="HH288" s="148">
        <f t="shared" si="632"/>
        <v>0</v>
      </c>
      <c r="HI288" s="148">
        <f t="shared" si="632"/>
        <v>0</v>
      </c>
      <c r="HJ288" s="148">
        <f t="shared" si="632"/>
        <v>0</v>
      </c>
      <c r="HK288" s="148">
        <f t="shared" si="632"/>
        <v>0</v>
      </c>
      <c r="HL288" s="148">
        <f>HL264</f>
        <v>0</v>
      </c>
      <c r="HM288" s="148">
        <f>HM264</f>
        <v>0</v>
      </c>
      <c r="HN288" s="148">
        <f>HN263</f>
        <v>0</v>
      </c>
      <c r="HO288" s="148">
        <f t="shared" si="632"/>
        <v>937972.3</v>
      </c>
      <c r="HP288" s="148">
        <f>HP264</f>
        <v>0</v>
      </c>
      <c r="HQ288" s="148">
        <f>HQ264</f>
        <v>0</v>
      </c>
      <c r="HR288" s="148">
        <f>HR263</f>
        <v>937972.3</v>
      </c>
      <c r="HS288" s="148">
        <f>HS263</f>
        <v>761787.16299999994</v>
      </c>
      <c r="HT288" s="148">
        <f>HT264</f>
        <v>0</v>
      </c>
      <c r="HU288" s="148">
        <f>HU264</f>
        <v>0</v>
      </c>
      <c r="HV288" s="148">
        <f>HV263</f>
        <v>761787.16299999994</v>
      </c>
      <c r="HW288" s="148">
        <f>HW263</f>
        <v>-59671.516709999996</v>
      </c>
      <c r="HX288" s="148">
        <f>HX264</f>
        <v>0</v>
      </c>
      <c r="HY288" s="148">
        <f>HY264</f>
        <v>0</v>
      </c>
      <c r="HZ288" s="148">
        <f>HZ263</f>
        <v>-59671.516709999996</v>
      </c>
      <c r="IA288" s="148">
        <f>IA263</f>
        <v>702115.64628999995</v>
      </c>
      <c r="IB288" s="148">
        <f>IB264</f>
        <v>0</v>
      </c>
      <c r="IC288" s="148">
        <f>IC264</f>
        <v>0</v>
      </c>
      <c r="ID288" s="148">
        <f>ID263</f>
        <v>702115.64628999995</v>
      </c>
      <c r="IE288" s="569"/>
      <c r="IF288" s="234"/>
      <c r="IG288" s="234"/>
      <c r="IH288" s="234"/>
      <c r="II288" s="235"/>
      <c r="IJ288" s="235"/>
      <c r="IK288" s="235"/>
      <c r="IL288" s="235"/>
      <c r="IM288" s="235"/>
      <c r="IN288" s="235"/>
      <c r="IO288" s="235"/>
    </row>
    <row r="289" spans="2:249" s="130" customFormat="1" ht="47.25" customHeight="1" x14ac:dyDescent="0.25">
      <c r="B289" s="782" t="s">
        <v>389</v>
      </c>
      <c r="C289" s="783"/>
      <c r="D289" s="783"/>
      <c r="E289" s="783"/>
      <c r="F289" s="783"/>
      <c r="G289" s="783"/>
      <c r="H289" s="783"/>
      <c r="I289" s="783"/>
      <c r="J289" s="783"/>
      <c r="K289" s="783"/>
      <c r="L289" s="783"/>
      <c r="M289" s="783"/>
      <c r="N289" s="783"/>
      <c r="O289" s="783"/>
      <c r="P289" s="783"/>
      <c r="Q289" s="783"/>
      <c r="R289" s="783"/>
      <c r="S289" s="783"/>
      <c r="T289" s="783"/>
      <c r="U289" s="783"/>
      <c r="V289" s="783"/>
      <c r="W289" s="783"/>
      <c r="X289" s="783"/>
      <c r="Y289" s="783"/>
      <c r="Z289" s="783"/>
      <c r="AA289" s="783"/>
      <c r="AB289" s="783"/>
      <c r="AC289" s="783"/>
      <c r="AD289" s="783"/>
      <c r="AE289" s="783"/>
      <c r="AF289" s="783"/>
      <c r="AG289" s="783"/>
      <c r="AH289" s="783"/>
      <c r="AI289" s="783"/>
      <c r="AJ289" s="783"/>
      <c r="AK289" s="783"/>
      <c r="AL289" s="783"/>
      <c r="AM289" s="783"/>
      <c r="AN289" s="783"/>
      <c r="AO289" s="783"/>
      <c r="AP289" s="783"/>
      <c r="AQ289" s="783"/>
      <c r="AR289" s="783"/>
      <c r="AS289" s="783"/>
      <c r="AT289" s="783"/>
      <c r="AU289" s="783"/>
      <c r="AV289" s="783"/>
      <c r="AW289" s="783"/>
      <c r="AX289" s="783"/>
      <c r="AY289" s="783"/>
      <c r="AZ289" s="783"/>
      <c r="BA289" s="783"/>
      <c r="BB289" s="783"/>
      <c r="BC289" s="783"/>
      <c r="BD289" s="783"/>
      <c r="BE289" s="783"/>
      <c r="BF289" s="783"/>
      <c r="BG289" s="783"/>
      <c r="BH289" s="783"/>
      <c r="BI289" s="783"/>
      <c r="BJ289" s="783"/>
      <c r="BK289" s="783"/>
      <c r="BL289" s="783"/>
      <c r="BM289" s="783"/>
      <c r="BN289" s="783"/>
      <c r="BO289" s="783"/>
      <c r="BP289" s="783"/>
      <c r="BQ289" s="783"/>
      <c r="BR289" s="783"/>
      <c r="BS289" s="783"/>
      <c r="BT289" s="783"/>
      <c r="BU289" s="783"/>
      <c r="BV289" s="783"/>
      <c r="BW289" s="783"/>
      <c r="BX289" s="783"/>
      <c r="BY289" s="783"/>
      <c r="BZ289" s="783"/>
      <c r="CA289" s="783"/>
      <c r="CB289" s="783"/>
      <c r="CC289" s="783"/>
      <c r="CD289" s="783"/>
      <c r="CE289" s="783"/>
      <c r="CF289" s="783"/>
      <c r="CG289" s="783"/>
      <c r="CH289" s="783"/>
      <c r="CI289" s="783"/>
      <c r="CJ289" s="783"/>
      <c r="CK289" s="783"/>
      <c r="CL289" s="783"/>
      <c r="CM289" s="783"/>
      <c r="CN289" s="783"/>
      <c r="CO289" s="783"/>
      <c r="CP289" s="783"/>
      <c r="CQ289" s="783"/>
      <c r="CR289" s="783"/>
      <c r="CS289" s="783"/>
      <c r="CT289" s="783"/>
      <c r="CU289" s="783"/>
      <c r="CV289" s="783"/>
      <c r="CW289" s="783"/>
      <c r="CX289" s="783"/>
      <c r="CY289" s="783"/>
      <c r="CZ289" s="783"/>
      <c r="DA289" s="783"/>
      <c r="DB289" s="783"/>
      <c r="DC289" s="783"/>
      <c r="DD289" s="783"/>
      <c r="DE289" s="783"/>
      <c r="DF289" s="783"/>
      <c r="DG289" s="783"/>
      <c r="DH289" s="783"/>
      <c r="DI289" s="783"/>
      <c r="DJ289" s="783"/>
      <c r="DK289" s="783"/>
      <c r="DL289" s="783"/>
      <c r="DM289" s="783"/>
      <c r="DN289" s="783"/>
      <c r="DO289" s="783"/>
      <c r="DP289" s="783"/>
      <c r="DQ289" s="783"/>
      <c r="DR289" s="783"/>
      <c r="DS289" s="783"/>
      <c r="DT289" s="783"/>
      <c r="DU289" s="783"/>
      <c r="DV289" s="783"/>
      <c r="DW289" s="783"/>
      <c r="DX289" s="783"/>
      <c r="DY289" s="783"/>
      <c r="DZ289" s="783"/>
      <c r="EA289" s="783"/>
      <c r="EB289" s="783"/>
      <c r="EC289" s="783"/>
      <c r="ED289" s="783"/>
      <c r="EE289" s="783"/>
      <c r="EF289" s="783"/>
      <c r="EG289" s="783"/>
      <c r="EH289" s="783"/>
      <c r="EI289" s="783"/>
      <c r="EJ289" s="783"/>
      <c r="EK289" s="783"/>
      <c r="EL289" s="783"/>
      <c r="EM289" s="783"/>
      <c r="EN289" s="783"/>
      <c r="EO289" s="783"/>
      <c r="EP289" s="783"/>
      <c r="EQ289" s="783"/>
      <c r="ER289" s="783"/>
      <c r="ES289" s="783"/>
      <c r="ET289" s="783"/>
      <c r="EU289" s="783"/>
      <c r="EV289" s="783"/>
      <c r="EW289" s="783"/>
      <c r="EX289" s="783"/>
      <c r="EY289" s="783"/>
      <c r="EZ289" s="783"/>
      <c r="FA289" s="783"/>
      <c r="FB289" s="783"/>
      <c r="FC289" s="783"/>
      <c r="FD289" s="783"/>
      <c r="FE289" s="783"/>
      <c r="FF289" s="783"/>
      <c r="FG289" s="783"/>
      <c r="FH289" s="783"/>
      <c r="FI289" s="783"/>
      <c r="FJ289" s="783"/>
      <c r="FK289" s="783"/>
      <c r="FL289" s="783"/>
      <c r="FM289" s="783"/>
      <c r="FN289" s="783"/>
      <c r="FO289" s="783"/>
      <c r="FP289" s="783"/>
      <c r="FQ289" s="783"/>
      <c r="FR289" s="783"/>
      <c r="FS289" s="783"/>
      <c r="FT289" s="783"/>
      <c r="FU289" s="783"/>
      <c r="FV289" s="783"/>
      <c r="FW289" s="783"/>
      <c r="FX289" s="783"/>
      <c r="FY289" s="783"/>
      <c r="FZ289" s="783"/>
      <c r="GA289" s="783"/>
      <c r="GB289" s="783"/>
      <c r="GC289" s="783"/>
      <c r="GD289" s="783"/>
      <c r="GE289" s="783"/>
      <c r="GF289" s="783"/>
      <c r="GG289" s="783"/>
      <c r="GH289" s="783"/>
      <c r="GI289" s="783"/>
      <c r="GJ289" s="783"/>
      <c r="GK289" s="783"/>
      <c r="GL289" s="783"/>
      <c r="GM289" s="783"/>
      <c r="GN289" s="783"/>
      <c r="GO289" s="783"/>
      <c r="GP289" s="783"/>
      <c r="GQ289" s="783"/>
      <c r="GR289" s="783"/>
      <c r="GS289" s="783"/>
      <c r="GT289" s="783"/>
      <c r="GU289" s="783"/>
      <c r="GV289" s="783"/>
      <c r="GW289" s="783"/>
      <c r="GX289" s="783"/>
      <c r="GY289" s="783"/>
      <c r="GZ289" s="783"/>
      <c r="HA289" s="783"/>
      <c r="HB289" s="783"/>
      <c r="HC289" s="783"/>
      <c r="HD289" s="783"/>
      <c r="HE289" s="783"/>
      <c r="HF289" s="783"/>
      <c r="HG289" s="783"/>
      <c r="HH289" s="783"/>
      <c r="HI289" s="783"/>
      <c r="HJ289" s="783"/>
      <c r="HK289" s="783"/>
      <c r="HL289" s="783"/>
      <c r="HM289" s="783"/>
      <c r="HN289" s="783"/>
      <c r="HO289" s="783"/>
      <c r="HP289" s="783"/>
      <c r="HQ289" s="783"/>
      <c r="HR289" s="783"/>
      <c r="HS289" s="784"/>
      <c r="HT289" s="784"/>
      <c r="HU289" s="784"/>
      <c r="HV289" s="784"/>
      <c r="HW289" s="784"/>
      <c r="HX289" s="784"/>
      <c r="HY289" s="784"/>
      <c r="HZ289" s="784"/>
      <c r="IA289" s="784"/>
      <c r="IB289" s="784"/>
      <c r="IC289" s="784"/>
      <c r="ID289" s="784"/>
      <c r="IE289" s="785"/>
      <c r="IF289" s="318"/>
      <c r="IG289" s="318"/>
      <c r="IH289" s="318"/>
      <c r="II289" s="129"/>
      <c r="IJ289" s="129"/>
      <c r="IK289" s="129"/>
      <c r="IL289" s="129"/>
      <c r="IM289" s="129"/>
      <c r="IN289" s="129"/>
      <c r="IO289" s="129"/>
    </row>
    <row r="290" spans="2:249" s="239" customFormat="1" ht="114.75" customHeight="1" x14ac:dyDescent="0.25">
      <c r="B290" s="131" t="s">
        <v>482</v>
      </c>
      <c r="C290" s="260" t="s">
        <v>390</v>
      </c>
      <c r="D290" s="136" t="s">
        <v>391</v>
      </c>
      <c r="E290" s="136" t="e">
        <f t="shared" ref="E290:AN290" si="633">E292+E310</f>
        <v>#REF!</v>
      </c>
      <c r="F290" s="136" t="e">
        <f t="shared" si="633"/>
        <v>#REF!</v>
      </c>
      <c r="G290" s="136" t="e">
        <f t="shared" si="633"/>
        <v>#REF!</v>
      </c>
      <c r="H290" s="136" t="e">
        <f t="shared" si="633"/>
        <v>#REF!</v>
      </c>
      <c r="I290" s="136" t="e">
        <f t="shared" si="633"/>
        <v>#REF!</v>
      </c>
      <c r="J290" s="136" t="e">
        <f t="shared" si="633"/>
        <v>#REF!</v>
      </c>
      <c r="K290" s="136" t="e">
        <f t="shared" si="633"/>
        <v>#REF!</v>
      </c>
      <c r="L290" s="136" t="e">
        <f t="shared" si="633"/>
        <v>#REF!</v>
      </c>
      <c r="M290" s="136" t="e">
        <f t="shared" si="633"/>
        <v>#REF!</v>
      </c>
      <c r="N290" s="136" t="e">
        <f t="shared" si="633"/>
        <v>#REF!</v>
      </c>
      <c r="O290" s="136" t="e">
        <f t="shared" si="633"/>
        <v>#REF!</v>
      </c>
      <c r="P290" s="136" t="e">
        <f t="shared" si="633"/>
        <v>#REF!</v>
      </c>
      <c r="Q290" s="136" t="e">
        <f t="shared" si="633"/>
        <v>#REF!</v>
      </c>
      <c r="R290" s="136" t="e">
        <f t="shared" si="633"/>
        <v>#REF!</v>
      </c>
      <c r="S290" s="136" t="e">
        <f t="shared" si="633"/>
        <v>#REF!</v>
      </c>
      <c r="T290" s="136" t="e">
        <f t="shared" si="633"/>
        <v>#REF!</v>
      </c>
      <c r="U290" s="136" t="e">
        <f t="shared" si="633"/>
        <v>#REF!</v>
      </c>
      <c r="V290" s="136" t="e">
        <f t="shared" si="633"/>
        <v>#REF!</v>
      </c>
      <c r="W290" s="136" t="e">
        <f t="shared" si="633"/>
        <v>#REF!</v>
      </c>
      <c r="X290" s="136" t="e">
        <f t="shared" si="633"/>
        <v>#REF!</v>
      </c>
      <c r="Y290" s="136" t="e">
        <f t="shared" si="633"/>
        <v>#REF!</v>
      </c>
      <c r="Z290" s="136" t="e">
        <f t="shared" si="633"/>
        <v>#REF!</v>
      </c>
      <c r="AA290" s="136" t="e">
        <f t="shared" si="633"/>
        <v>#REF!</v>
      </c>
      <c r="AB290" s="136" t="e">
        <f t="shared" si="633"/>
        <v>#REF!</v>
      </c>
      <c r="AC290" s="136" t="e">
        <f t="shared" si="633"/>
        <v>#REF!</v>
      </c>
      <c r="AD290" s="136" t="e">
        <f t="shared" si="633"/>
        <v>#REF!</v>
      </c>
      <c r="AE290" s="136" t="e">
        <f t="shared" si="633"/>
        <v>#REF!</v>
      </c>
      <c r="AF290" s="136" t="e">
        <f t="shared" si="633"/>
        <v>#REF!</v>
      </c>
      <c r="AG290" s="136" t="e">
        <f t="shared" si="633"/>
        <v>#REF!</v>
      </c>
      <c r="AH290" s="136" t="e">
        <f t="shared" si="633"/>
        <v>#REF!</v>
      </c>
      <c r="AI290" s="136" t="e">
        <f t="shared" si="633"/>
        <v>#REF!</v>
      </c>
      <c r="AJ290" s="136" t="e">
        <f t="shared" si="633"/>
        <v>#REF!</v>
      </c>
      <c r="AK290" s="261" t="e">
        <f t="shared" si="633"/>
        <v>#REF!</v>
      </c>
      <c r="AL290" s="261" t="e">
        <f t="shared" si="633"/>
        <v>#REF!</v>
      </c>
      <c r="AM290" s="181" t="e">
        <f t="shared" si="633"/>
        <v>#REF!</v>
      </c>
      <c r="AN290" s="263" t="e">
        <f t="shared" si="633"/>
        <v>#REF!</v>
      </c>
      <c r="AO290" s="264">
        <v>1</v>
      </c>
      <c r="AP290" s="139" t="e">
        <f t="shared" ref="AP290:BJ290" si="634">AP292+AP310</f>
        <v>#REF!</v>
      </c>
      <c r="AQ290" s="139" t="e">
        <f t="shared" si="634"/>
        <v>#REF!</v>
      </c>
      <c r="AR290" s="139" t="e">
        <f t="shared" si="634"/>
        <v>#REF!</v>
      </c>
      <c r="AS290" s="136" t="e">
        <f t="shared" si="634"/>
        <v>#REF!</v>
      </c>
      <c r="AT290" s="136" t="e">
        <f t="shared" si="634"/>
        <v>#REF!</v>
      </c>
      <c r="AU290" s="136" t="e">
        <f t="shared" si="634"/>
        <v>#REF!</v>
      </c>
      <c r="AV290" s="136" t="e">
        <f t="shared" si="634"/>
        <v>#REF!</v>
      </c>
      <c r="AW290" s="136" t="e">
        <f t="shared" si="634"/>
        <v>#REF!</v>
      </c>
      <c r="AX290" s="136" t="e">
        <f t="shared" si="634"/>
        <v>#REF!</v>
      </c>
      <c r="AY290" s="136" t="e">
        <f t="shared" si="634"/>
        <v>#REF!</v>
      </c>
      <c r="AZ290" s="136" t="e">
        <f t="shared" si="634"/>
        <v>#REF!</v>
      </c>
      <c r="BA290" s="136" t="e">
        <f t="shared" si="634"/>
        <v>#REF!</v>
      </c>
      <c r="BB290" s="136" t="e">
        <f t="shared" si="634"/>
        <v>#REF!</v>
      </c>
      <c r="BC290" s="136" t="e">
        <f t="shared" si="634"/>
        <v>#REF!</v>
      </c>
      <c r="BD290" s="136" t="e">
        <f t="shared" si="634"/>
        <v>#REF!</v>
      </c>
      <c r="BE290" s="136" t="e">
        <f t="shared" si="634"/>
        <v>#REF!</v>
      </c>
      <c r="BF290" s="136" t="e">
        <f t="shared" si="634"/>
        <v>#REF!</v>
      </c>
      <c r="BG290" s="136" t="e">
        <f t="shared" si="634"/>
        <v>#REF!</v>
      </c>
      <c r="BH290" s="136" t="e">
        <f t="shared" si="634"/>
        <v>#REF!</v>
      </c>
      <c r="BI290" s="136" t="e">
        <f t="shared" si="634"/>
        <v>#REF!</v>
      </c>
      <c r="BJ290" s="136" t="e">
        <f t="shared" si="634"/>
        <v>#REF!</v>
      </c>
      <c r="BK290" s="264">
        <v>1</v>
      </c>
      <c r="BL290" s="136" t="e">
        <f t="shared" ref="BL290:CA290" si="635">BL292+BL310</f>
        <v>#REF!</v>
      </c>
      <c r="BM290" s="136" t="e">
        <f t="shared" si="635"/>
        <v>#REF!</v>
      </c>
      <c r="BN290" s="136" t="e">
        <f t="shared" si="635"/>
        <v>#REF!</v>
      </c>
      <c r="BO290" s="136" t="e">
        <f t="shared" si="635"/>
        <v>#REF!</v>
      </c>
      <c r="BP290" s="136" t="e">
        <f t="shared" si="635"/>
        <v>#REF!</v>
      </c>
      <c r="BQ290" s="136" t="e">
        <f t="shared" si="635"/>
        <v>#REF!</v>
      </c>
      <c r="BR290" s="136" t="e">
        <f t="shared" si="635"/>
        <v>#REF!</v>
      </c>
      <c r="BS290" s="136" t="e">
        <f t="shared" si="635"/>
        <v>#REF!</v>
      </c>
      <c r="BT290" s="136" t="e">
        <f t="shared" si="635"/>
        <v>#REF!</v>
      </c>
      <c r="BU290" s="136" t="e">
        <f t="shared" si="635"/>
        <v>#REF!</v>
      </c>
      <c r="BV290" s="136" t="e">
        <f t="shared" si="635"/>
        <v>#REF!</v>
      </c>
      <c r="BW290" s="136" t="e">
        <f t="shared" si="635"/>
        <v>#REF!</v>
      </c>
      <c r="BX290" s="136" t="e">
        <f t="shared" si="635"/>
        <v>#REF!</v>
      </c>
      <c r="BY290" s="136" t="e">
        <f t="shared" si="635"/>
        <v>#REF!</v>
      </c>
      <c r="BZ290" s="136" t="e">
        <f t="shared" si="635"/>
        <v>#REF!</v>
      </c>
      <c r="CA290" s="136" t="e">
        <f t="shared" si="635"/>
        <v>#REF!</v>
      </c>
      <c r="CB290" s="136" t="e">
        <f>CC290+CD290</f>
        <v>#REF!</v>
      </c>
      <c r="CC290" s="136" t="e">
        <f>CC291</f>
        <v>#REF!</v>
      </c>
      <c r="CD290" s="136" t="e">
        <f>CD292+CD310</f>
        <v>#REF!</v>
      </c>
      <c r="CE290" s="264">
        <v>1</v>
      </c>
      <c r="CF290" s="136" t="e">
        <f>CF292+CF310</f>
        <v>#REF!</v>
      </c>
      <c r="CG290" s="260"/>
      <c r="CH290" s="136" t="e">
        <f t="shared" ref="CH290:CV290" si="636">CH292+CH310</f>
        <v>#REF!</v>
      </c>
      <c r="CI290" s="136" t="e">
        <f t="shared" si="636"/>
        <v>#REF!</v>
      </c>
      <c r="CJ290" s="136" t="e">
        <f t="shared" si="636"/>
        <v>#REF!</v>
      </c>
      <c r="CK290" s="136" t="e">
        <f t="shared" si="636"/>
        <v>#REF!</v>
      </c>
      <c r="CL290" s="136" t="e">
        <f t="shared" si="636"/>
        <v>#REF!</v>
      </c>
      <c r="CM290" s="136" t="e">
        <f t="shared" si="636"/>
        <v>#REF!</v>
      </c>
      <c r="CN290" s="264" t="e">
        <f t="shared" si="636"/>
        <v>#REF!</v>
      </c>
      <c r="CO290" s="264" t="e">
        <f t="shared" si="636"/>
        <v>#REF!</v>
      </c>
      <c r="CP290" s="264" t="e">
        <f t="shared" si="636"/>
        <v>#REF!</v>
      </c>
      <c r="CQ290" s="136" t="e">
        <f t="shared" si="636"/>
        <v>#REF!</v>
      </c>
      <c r="CR290" s="136" t="e">
        <f t="shared" si="636"/>
        <v>#REF!</v>
      </c>
      <c r="CS290" s="136" t="e">
        <f t="shared" si="636"/>
        <v>#REF!</v>
      </c>
      <c r="CT290" s="136" t="e">
        <f t="shared" si="636"/>
        <v>#REF!</v>
      </c>
      <c r="CU290" s="136" t="e">
        <f t="shared" si="636"/>
        <v>#REF!</v>
      </c>
      <c r="CV290" s="136" t="e">
        <f t="shared" si="636"/>
        <v>#REF!</v>
      </c>
      <c r="CW290" s="136" t="e">
        <f>CX290+CY290</f>
        <v>#REF!</v>
      </c>
      <c r="CX290" s="136" t="e">
        <f>CX291+CX332+CX348</f>
        <v>#REF!</v>
      </c>
      <c r="CY290" s="136" t="e">
        <f>CY292+CY310</f>
        <v>#REF!</v>
      </c>
      <c r="CZ290" s="136" t="e">
        <f>DA290+DB290</f>
        <v>#REF!</v>
      </c>
      <c r="DA290" s="136" t="e">
        <f>DA291</f>
        <v>#REF!</v>
      </c>
      <c r="DB290" s="136" t="e">
        <f>DB292+DB310</f>
        <v>#REF!</v>
      </c>
      <c r="DC290" s="136">
        <f>DC291</f>
        <v>15541.021500000001</v>
      </c>
      <c r="DD290" s="136">
        <f>DD291</f>
        <v>15541.021500000001</v>
      </c>
      <c r="DE290" s="136"/>
      <c r="DF290" s="136" t="e">
        <f>DG290+DH290</f>
        <v>#REF!</v>
      </c>
      <c r="DG290" s="136" t="e">
        <f>DG291+DG332</f>
        <v>#REF!</v>
      </c>
      <c r="DH290" s="136" t="e">
        <f>DH292+DH310</f>
        <v>#REF!</v>
      </c>
      <c r="DI290" s="136" t="e">
        <f>DJ290+DK290</f>
        <v>#REF!</v>
      </c>
      <c r="DJ290" s="136" t="e">
        <f>DJ291+DJ332</f>
        <v>#REF!</v>
      </c>
      <c r="DK290" s="136" t="e">
        <f>DK292+DK310</f>
        <v>#REF!</v>
      </c>
      <c r="DL290" s="136" t="e">
        <f>DM290+DN290</f>
        <v>#REF!</v>
      </c>
      <c r="DM290" s="136" t="e">
        <f>DM291</f>
        <v>#REF!</v>
      </c>
      <c r="DN290" s="136" t="e">
        <f>DN292+DN310</f>
        <v>#REF!</v>
      </c>
      <c r="DO290" s="136" t="e">
        <f>DP290+DQ290</f>
        <v>#REF!</v>
      </c>
      <c r="DP290" s="136" t="e">
        <f>DP291</f>
        <v>#REF!</v>
      </c>
      <c r="DQ290" s="136" t="e">
        <f>DQ292+DQ310</f>
        <v>#REF!</v>
      </c>
      <c r="DR290" s="136" t="e">
        <f>DS290+DT290</f>
        <v>#REF!</v>
      </c>
      <c r="DS290" s="136" t="e">
        <f>DS291</f>
        <v>#REF!</v>
      </c>
      <c r="DT290" s="136" t="e">
        <f>DT292+DT310</f>
        <v>#REF!</v>
      </c>
      <c r="DU290" s="136" t="e">
        <f>DV290+DW290</f>
        <v>#REF!</v>
      </c>
      <c r="DV290" s="136" t="e">
        <f>DV291+DV332</f>
        <v>#REF!</v>
      </c>
      <c r="DW290" s="136" t="e">
        <f>DW292+DW310</f>
        <v>#REF!</v>
      </c>
      <c r="DX290" s="136" t="e">
        <f>DY290+DZ290</f>
        <v>#REF!</v>
      </c>
      <c r="DY290" s="136" t="e">
        <f>DY291</f>
        <v>#REF!</v>
      </c>
      <c r="DZ290" s="136" t="e">
        <f>DZ292+DZ310</f>
        <v>#REF!</v>
      </c>
      <c r="EA290" s="136">
        <f>EB290+EC290</f>
        <v>0</v>
      </c>
      <c r="EB290" s="136">
        <f>EB291</f>
        <v>0</v>
      </c>
      <c r="EC290" s="136">
        <f>EC292+EC310</f>
        <v>0</v>
      </c>
      <c r="ED290" s="136" t="e">
        <f>EE290+EF290</f>
        <v>#REF!</v>
      </c>
      <c r="EE290" s="136" t="e">
        <f>EE291+EE332</f>
        <v>#REF!</v>
      </c>
      <c r="EF290" s="136" t="e">
        <f>EF292+EF310</f>
        <v>#REF!</v>
      </c>
      <c r="EG290" s="136" t="e">
        <f>EH290+EI290</f>
        <v>#REF!</v>
      </c>
      <c r="EH290" s="136" t="e">
        <f>EH291</f>
        <v>#REF!</v>
      </c>
      <c r="EI290" s="136">
        <f>EI291+EI332</f>
        <v>541515.99951999995</v>
      </c>
      <c r="EJ290" s="136" t="e">
        <f>EJ291</f>
        <v>#REF!</v>
      </c>
      <c r="EK290" s="136" t="e">
        <f>EL290+EM290+EN290</f>
        <v>#REF!</v>
      </c>
      <c r="EL290" s="136" t="e">
        <f>EL291+EL332</f>
        <v>#REF!</v>
      </c>
      <c r="EM290" s="136">
        <f>EM291+EM332</f>
        <v>-742428.76911999995</v>
      </c>
      <c r="EN290" s="136">
        <f>EN291+EN332</f>
        <v>0</v>
      </c>
      <c r="EO290" s="136" t="e">
        <f>EP290+EQ290+ER290</f>
        <v>#REF!</v>
      </c>
      <c r="EP290" s="136" t="e">
        <f>EP291+EP332</f>
        <v>#REF!</v>
      </c>
      <c r="EQ290" s="136">
        <f>EQ291+EQ332</f>
        <v>0</v>
      </c>
      <c r="ER290" s="136">
        <f>ER291+ER332</f>
        <v>0</v>
      </c>
      <c r="ES290" s="136" t="e">
        <f>ET290+EU290+EV290</f>
        <v>#REF!</v>
      </c>
      <c r="ET290" s="136" t="e">
        <f>ET291+ET332</f>
        <v>#REF!</v>
      </c>
      <c r="EU290" s="136">
        <f>EU291+EU332</f>
        <v>-200912.7696</v>
      </c>
      <c r="EV290" s="136" t="e">
        <f>EV291+EV332</f>
        <v>#REF!</v>
      </c>
      <c r="EW290" s="136" t="e">
        <f>EX290+EY290</f>
        <v>#REF!</v>
      </c>
      <c r="EX290" s="136" t="e">
        <f>EX291+EX332</f>
        <v>#REF!</v>
      </c>
      <c r="EY290" s="136" t="e">
        <f>EY292+EY310</f>
        <v>#REF!</v>
      </c>
      <c r="EZ290" s="136" t="e">
        <f>FA290+FB290</f>
        <v>#REF!</v>
      </c>
      <c r="FA290" s="136" t="e">
        <f>FA291+FA332</f>
        <v>#REF!</v>
      </c>
      <c r="FB290" s="136">
        <f>FB292+FB310</f>
        <v>0</v>
      </c>
      <c r="FC290" s="134">
        <f>FD290+FE290+FF290</f>
        <v>2108415.8745800001</v>
      </c>
      <c r="FD290" s="134">
        <f>FD291+FD332</f>
        <v>1768356.2598600001</v>
      </c>
      <c r="FE290" s="134">
        <f>FE291+FE332</f>
        <v>340059.61471999995</v>
      </c>
      <c r="FF290" s="136">
        <f>FF291</f>
        <v>0</v>
      </c>
      <c r="FG290" s="673">
        <f>FH290+FI290+FJ290</f>
        <v>203242.70342999999</v>
      </c>
      <c r="FH290" s="673">
        <f>FH291</f>
        <v>202699.08822999999</v>
      </c>
      <c r="FI290" s="673">
        <f>FI291+FI332</f>
        <v>543.61520000000019</v>
      </c>
      <c r="FJ290" s="673">
        <f>FJ291</f>
        <v>0</v>
      </c>
      <c r="FK290" s="136">
        <f>FL290+FM290+FN290</f>
        <v>0</v>
      </c>
      <c r="FL290" s="136">
        <f>FL291+FL332</f>
        <v>0</v>
      </c>
      <c r="FM290" s="136">
        <f>FM291+FM332</f>
        <v>0</v>
      </c>
      <c r="FN290" s="136">
        <f>FN291+FN332</f>
        <v>0</v>
      </c>
      <c r="FO290" s="136">
        <f>FP290+FQ290+FR290</f>
        <v>1687974.6901699998</v>
      </c>
      <c r="FP290" s="136">
        <f>FP291</f>
        <v>1347371.46025</v>
      </c>
      <c r="FQ290" s="136">
        <f>FQ291+FQ332</f>
        <v>340603.22991999995</v>
      </c>
      <c r="FR290" s="136">
        <f>FR291</f>
        <v>0</v>
      </c>
      <c r="FS290" s="134">
        <f>FU290+FW290+FY290</f>
        <v>937247.44215000002</v>
      </c>
      <c r="FT290" s="578">
        <f>FS290/FC290</f>
        <v>0.44452683811095917</v>
      </c>
      <c r="FU290" s="134">
        <f>FU291+FU332</f>
        <v>681255.87956999999</v>
      </c>
      <c r="FV290" s="578">
        <f>FU290/FD290</f>
        <v>0.38524809453494097</v>
      </c>
      <c r="FW290" s="134">
        <f>FW291+FW332</f>
        <v>255991.56257999997</v>
      </c>
      <c r="FX290" s="578">
        <f>FW290/FE290</f>
        <v>0.75278436926648762</v>
      </c>
      <c r="FY290" s="136"/>
      <c r="FZ290" s="667"/>
      <c r="GA290" s="134">
        <f>GC290+GE290+GG290</f>
        <v>892759.70252000005</v>
      </c>
      <c r="GB290" s="578">
        <f>GA290/FC290</f>
        <v>0.42342676000665158</v>
      </c>
      <c r="GC290" s="134">
        <f>GC291+GC332</f>
        <v>679402.95160999999</v>
      </c>
      <c r="GD290" s="578">
        <f>GC290/FD290</f>
        <v>0.38420026949987329</v>
      </c>
      <c r="GE290" s="134">
        <f>GE291+GE332</f>
        <v>213356.75091</v>
      </c>
      <c r="GF290" s="578">
        <f>GE290/FE290</f>
        <v>0.62740984719892356</v>
      </c>
      <c r="GG290" s="134"/>
      <c r="GH290" s="578"/>
      <c r="GI290" s="134">
        <f>GK290+GM290+GO290</f>
        <v>1591659.9354899998</v>
      </c>
      <c r="GJ290" s="578">
        <f>GI290/FC290</f>
        <v>0.75490796416388262</v>
      </c>
      <c r="GK290" s="134">
        <f>GK291+GK332</f>
        <v>1316684.6496599999</v>
      </c>
      <c r="GL290" s="578">
        <f>GK290/FD290</f>
        <v>0.74458110028362789</v>
      </c>
      <c r="GM290" s="134">
        <f>GM291+GM332</f>
        <v>274975.28583000001</v>
      </c>
      <c r="GN290" s="578">
        <v>0</v>
      </c>
      <c r="GO290" s="134">
        <f>GO291</f>
        <v>0</v>
      </c>
      <c r="GP290" s="578"/>
      <c r="GQ290" s="136"/>
      <c r="GR290" s="136"/>
      <c r="GS290" s="136"/>
      <c r="GT290" s="136"/>
      <c r="GU290" s="136" t="e">
        <f>GV290+GW290+GX290</f>
        <v>#REF!</v>
      </c>
      <c r="GV290" s="136" t="e">
        <f>GV291</f>
        <v>#REF!</v>
      </c>
      <c r="GW290" s="136">
        <f>GW291+GW332</f>
        <v>581220.99664000003</v>
      </c>
      <c r="GX290" s="136" t="e">
        <f>GX291</f>
        <v>#REF!</v>
      </c>
      <c r="GY290" s="136"/>
      <c r="GZ290" s="136"/>
      <c r="HA290" s="136"/>
      <c r="HB290" s="136"/>
      <c r="HC290" s="136"/>
      <c r="HD290" s="136"/>
      <c r="HE290" s="136"/>
      <c r="HF290" s="136"/>
      <c r="HG290" s="136" t="e">
        <f>HH290+HI290+HJ290</f>
        <v>#REF!</v>
      </c>
      <c r="HH290" s="136" t="e">
        <f>HH291</f>
        <v>#REF!</v>
      </c>
      <c r="HI290" s="136">
        <f>HI291+HI332</f>
        <v>0</v>
      </c>
      <c r="HJ290" s="136" t="e">
        <f>HJ291</f>
        <v>#REF!</v>
      </c>
      <c r="HK290" s="136" t="e">
        <f>HL290+HM290+HN290</f>
        <v>#REF!</v>
      </c>
      <c r="HL290" s="136" t="e">
        <f>HL291</f>
        <v>#REF!</v>
      </c>
      <c r="HM290" s="136">
        <f>HM291+HM332</f>
        <v>0</v>
      </c>
      <c r="HN290" s="136" t="e">
        <f>HN291</f>
        <v>#REF!</v>
      </c>
      <c r="HO290" s="136" t="e">
        <f>HP290+HQ290+HR290</f>
        <v>#REF!</v>
      </c>
      <c r="HP290" s="136" t="e">
        <f>HP291</f>
        <v>#REF!</v>
      </c>
      <c r="HQ290" s="136">
        <f>HQ291+HQ332</f>
        <v>581220.99664000003</v>
      </c>
      <c r="HR290" s="136">
        <f>HR291</f>
        <v>0</v>
      </c>
      <c r="HS290" s="136" t="e">
        <f>HT290+HU290+HV290</f>
        <v>#REF!</v>
      </c>
      <c r="HT290" s="136" t="e">
        <f>HT291</f>
        <v>#REF!</v>
      </c>
      <c r="HU290" s="136">
        <f>HU291+HU332</f>
        <v>776975.60967999999</v>
      </c>
      <c r="HV290" s="136" t="e">
        <f>HV291</f>
        <v>#REF!</v>
      </c>
      <c r="HW290" s="136" t="e">
        <f>HX290+HY290+HZ290</f>
        <v>#REF!</v>
      </c>
      <c r="HX290" s="136" t="e">
        <f>HX291</f>
        <v>#REF!</v>
      </c>
      <c r="HY290" s="136">
        <f>HY291+HY332</f>
        <v>0</v>
      </c>
      <c r="HZ290" s="136" t="e">
        <f>HZ291</f>
        <v>#REF!</v>
      </c>
      <c r="IA290" s="136" t="e">
        <f>IB290+IC290+ID290</f>
        <v>#REF!</v>
      </c>
      <c r="IB290" s="136" t="e">
        <f>IB291</f>
        <v>#REF!</v>
      </c>
      <c r="IC290" s="136">
        <f>IC291+IC332</f>
        <v>776975.60967999999</v>
      </c>
      <c r="ID290" s="136" t="e">
        <f>ID291</f>
        <v>#REF!</v>
      </c>
      <c r="IE290" s="319" t="s">
        <v>392</v>
      </c>
      <c r="IF290" s="265"/>
      <c r="IG290" s="265"/>
      <c r="IH290" s="265"/>
    </row>
    <row r="291" spans="2:249" s="322" customFormat="1" ht="203.25" customHeight="1" x14ac:dyDescent="0.25">
      <c r="B291" s="241" t="s">
        <v>105</v>
      </c>
      <c r="C291" s="252" t="s">
        <v>393</v>
      </c>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1"/>
      <c r="BK291" s="181"/>
      <c r="BL291" s="181"/>
      <c r="BM291" s="181"/>
      <c r="BN291" s="181"/>
      <c r="BO291" s="181"/>
      <c r="BP291" s="181"/>
      <c r="BQ291" s="181"/>
      <c r="BR291" s="181"/>
      <c r="BS291" s="181"/>
      <c r="BT291" s="181"/>
      <c r="BU291" s="181"/>
      <c r="BV291" s="181"/>
      <c r="BW291" s="181"/>
      <c r="BX291" s="181"/>
      <c r="BY291" s="181"/>
      <c r="BZ291" s="181"/>
      <c r="CA291" s="181"/>
      <c r="CB291" s="181" t="e">
        <f>CC291</f>
        <v>#REF!</v>
      </c>
      <c r="CC291" s="181" t="e">
        <f>CC292+CC310</f>
        <v>#REF!</v>
      </c>
      <c r="CD291" s="181">
        <v>0</v>
      </c>
      <c r="CE291" s="181"/>
      <c r="CF291" s="181"/>
      <c r="CG291" s="181"/>
      <c r="CH291" s="181"/>
      <c r="CI291" s="181"/>
      <c r="CJ291" s="181"/>
      <c r="CK291" s="181"/>
      <c r="CL291" s="181"/>
      <c r="CM291" s="181"/>
      <c r="CN291" s="181"/>
      <c r="CO291" s="181"/>
      <c r="CP291" s="181"/>
      <c r="CQ291" s="181"/>
      <c r="CR291" s="181"/>
      <c r="CS291" s="181"/>
      <c r="CT291" s="181">
        <f>CT292</f>
        <v>78590</v>
      </c>
      <c r="CU291" s="181">
        <f>CU292</f>
        <v>78590</v>
      </c>
      <c r="CV291" s="181"/>
      <c r="CW291" s="181" t="e">
        <f>CX291</f>
        <v>#REF!</v>
      </c>
      <c r="CX291" s="181" t="e">
        <f>CX292+CX310</f>
        <v>#REF!</v>
      </c>
      <c r="CY291" s="181">
        <v>0</v>
      </c>
      <c r="CZ291" s="181" t="e">
        <f>DA291</f>
        <v>#REF!</v>
      </c>
      <c r="DA291" s="181" t="e">
        <f>DA292+DA310</f>
        <v>#REF!</v>
      </c>
      <c r="DB291" s="181">
        <v>0</v>
      </c>
      <c r="DC291" s="181">
        <f>DC292</f>
        <v>15541.021500000001</v>
      </c>
      <c r="DD291" s="181">
        <f>DD292</f>
        <v>15541.021500000001</v>
      </c>
      <c r="DE291" s="181"/>
      <c r="DF291" s="181" t="e">
        <f>DG291</f>
        <v>#REF!</v>
      </c>
      <c r="DG291" s="181" t="e">
        <f>DG292+DG310</f>
        <v>#REF!</v>
      </c>
      <c r="DH291" s="181">
        <v>0</v>
      </c>
      <c r="DI291" s="181" t="e">
        <f t="shared" ref="DI291:DI332" si="637">DJ291</f>
        <v>#REF!</v>
      </c>
      <c r="DJ291" s="181" t="e">
        <f>DJ292+DJ310</f>
        <v>#REF!</v>
      </c>
      <c r="DK291" s="181">
        <v>0</v>
      </c>
      <c r="DL291" s="181" t="e">
        <f>DM291</f>
        <v>#REF!</v>
      </c>
      <c r="DM291" s="181" t="e">
        <f>DM292+DM310</f>
        <v>#REF!</v>
      </c>
      <c r="DN291" s="181">
        <v>0</v>
      </c>
      <c r="DO291" s="181" t="e">
        <f>DP291</f>
        <v>#REF!</v>
      </c>
      <c r="DP291" s="181" t="e">
        <f>DP292+DP310</f>
        <v>#REF!</v>
      </c>
      <c r="DQ291" s="181">
        <v>0</v>
      </c>
      <c r="DR291" s="181" t="e">
        <f>DS291</f>
        <v>#REF!</v>
      </c>
      <c r="DS291" s="181" t="e">
        <f>DS292+DS310</f>
        <v>#REF!</v>
      </c>
      <c r="DT291" s="181">
        <v>0</v>
      </c>
      <c r="DU291" s="181" t="e">
        <f>DV291</f>
        <v>#REF!</v>
      </c>
      <c r="DV291" s="181" t="e">
        <f>DV292+DV310</f>
        <v>#REF!</v>
      </c>
      <c r="DW291" s="181">
        <v>0</v>
      </c>
      <c r="DX291" s="181" t="e">
        <f>DY291</f>
        <v>#REF!</v>
      </c>
      <c r="DY291" s="181" t="e">
        <f>DY292+DY310</f>
        <v>#REF!</v>
      </c>
      <c r="DZ291" s="181">
        <v>0</v>
      </c>
      <c r="EA291" s="181">
        <f>EB291</f>
        <v>0</v>
      </c>
      <c r="EB291" s="181">
        <f>EB292+EB310</f>
        <v>0</v>
      </c>
      <c r="EC291" s="181">
        <v>0</v>
      </c>
      <c r="ED291" s="181" t="e">
        <f>EE291</f>
        <v>#REF!</v>
      </c>
      <c r="EE291" s="181" t="e">
        <f>EE292+EE310</f>
        <v>#REF!</v>
      </c>
      <c r="EF291" s="181">
        <v>0</v>
      </c>
      <c r="EG291" s="181" t="e">
        <f>EH291+EI291</f>
        <v>#REF!</v>
      </c>
      <c r="EH291" s="181" t="e">
        <f>EH292+EH310</f>
        <v>#REF!</v>
      </c>
      <c r="EI291" s="181">
        <f>EI292+EI310</f>
        <v>0</v>
      </c>
      <c r="EJ291" s="181" t="e">
        <f>EJ292+EJ310</f>
        <v>#REF!</v>
      </c>
      <c r="EK291" s="181" t="e">
        <f>EL291</f>
        <v>#REF!</v>
      </c>
      <c r="EL291" s="181" t="e">
        <f>EL292+EL310</f>
        <v>#REF!</v>
      </c>
      <c r="EM291" s="181"/>
      <c r="EN291" s="181">
        <v>0</v>
      </c>
      <c r="EO291" s="181" t="e">
        <f>EP291</f>
        <v>#REF!</v>
      </c>
      <c r="EP291" s="181" t="e">
        <f>EP292+EP310</f>
        <v>#REF!</v>
      </c>
      <c r="EQ291" s="181"/>
      <c r="ER291" s="181">
        <v>0</v>
      </c>
      <c r="ES291" s="181" t="e">
        <f>ET291+EU291+EV291</f>
        <v>#REF!</v>
      </c>
      <c r="ET291" s="181" t="e">
        <f>ET292+ET310</f>
        <v>#REF!</v>
      </c>
      <c r="EU291" s="181">
        <f>EI291</f>
        <v>0</v>
      </c>
      <c r="EV291" s="181" t="e">
        <f>EV292+EV310</f>
        <v>#REF!</v>
      </c>
      <c r="EW291" s="181" t="e">
        <f>EX291</f>
        <v>#REF!</v>
      </c>
      <c r="EX291" s="181" t="e">
        <f>EX292+EX310</f>
        <v>#REF!</v>
      </c>
      <c r="EY291" s="181">
        <v>0</v>
      </c>
      <c r="EZ291" s="181" t="e">
        <f t="shared" ref="EZ291:EZ332" si="638">FA291</f>
        <v>#REF!</v>
      </c>
      <c r="FA291" s="181" t="e">
        <f>FA292+FA310</f>
        <v>#REF!</v>
      </c>
      <c r="FB291" s="181">
        <v>0</v>
      </c>
      <c r="FC291" s="180">
        <f>FD291+FE291</f>
        <v>1768356.2598600001</v>
      </c>
      <c r="FD291" s="180">
        <f>FD292+FD310</f>
        <v>1768356.2598600001</v>
      </c>
      <c r="FE291" s="180">
        <f>FE292+FE310</f>
        <v>0</v>
      </c>
      <c r="FF291" s="181">
        <v>0</v>
      </c>
      <c r="FG291" s="181">
        <f>FH291</f>
        <v>202699.08822999999</v>
      </c>
      <c r="FH291" s="181">
        <f>FH292+FH310</f>
        <v>202699.08822999999</v>
      </c>
      <c r="FI291" s="181">
        <f>FI292+FI310</f>
        <v>0</v>
      </c>
      <c r="FJ291" s="181">
        <v>0</v>
      </c>
      <c r="FK291" s="181">
        <f>FL291</f>
        <v>0</v>
      </c>
      <c r="FL291" s="181"/>
      <c r="FM291" s="181"/>
      <c r="FN291" s="181">
        <v>0</v>
      </c>
      <c r="FO291" s="181">
        <f>FP291+FQ291</f>
        <v>1347371.46025</v>
      </c>
      <c r="FP291" s="181">
        <f>FP292+FP310</f>
        <v>1347371.46025</v>
      </c>
      <c r="FQ291" s="181">
        <f>FQ292+FQ310</f>
        <v>0</v>
      </c>
      <c r="FR291" s="181">
        <f>FR292+FR310</f>
        <v>0</v>
      </c>
      <c r="FS291" s="180">
        <f t="shared" ref="FS291:FS297" si="639">FU291</f>
        <v>681255.87956999999</v>
      </c>
      <c r="FT291" s="577">
        <f t="shared" ref="FT291:FT353" si="640">FS291/FC291</f>
        <v>0.38524809453494097</v>
      </c>
      <c r="FU291" s="180">
        <f>FU292+FU310</f>
        <v>681255.87956999999</v>
      </c>
      <c r="FV291" s="577">
        <f t="shared" ref="FV291:FV353" si="641">FU291/FD291</f>
        <v>0.38524809453494097</v>
      </c>
      <c r="FW291" s="180"/>
      <c r="FX291" s="577"/>
      <c r="FY291" s="181"/>
      <c r="FZ291" s="672"/>
      <c r="GA291" s="180">
        <f t="shared" ref="GA291:GA297" si="642">GC291</f>
        <v>679402.95160999999</v>
      </c>
      <c r="GB291" s="577">
        <f>GA291/FC291</f>
        <v>0.38420026949987329</v>
      </c>
      <c r="GC291" s="180">
        <f>GC292+GC310</f>
        <v>679402.95160999999</v>
      </c>
      <c r="GD291" s="577">
        <f>GC291/FD291</f>
        <v>0.38420026949987329</v>
      </c>
      <c r="GE291" s="180"/>
      <c r="GF291" s="577"/>
      <c r="GG291" s="180"/>
      <c r="GH291" s="577"/>
      <c r="GI291" s="180">
        <f t="shared" ref="GI291:GI297" si="643">GK291</f>
        <v>1316684.6496599999</v>
      </c>
      <c r="GJ291" s="577">
        <f>GI291/FC291</f>
        <v>0.74458110028362789</v>
      </c>
      <c r="GK291" s="180">
        <f>GK292+GK310</f>
        <v>1316684.6496599999</v>
      </c>
      <c r="GL291" s="577">
        <f>GK291/FD291</f>
        <v>0.74458110028362789</v>
      </c>
      <c r="GM291" s="180"/>
      <c r="GN291" s="577"/>
      <c r="GO291" s="180"/>
      <c r="GP291" s="577"/>
      <c r="GQ291" s="181"/>
      <c r="GR291" s="181"/>
      <c r="GS291" s="181"/>
      <c r="GT291" s="181"/>
      <c r="GU291" s="181" t="e">
        <f>GV291+GW291</f>
        <v>#REF!</v>
      </c>
      <c r="GV291" s="181" t="e">
        <f>GV292+GV310</f>
        <v>#REF!</v>
      </c>
      <c r="GW291" s="181">
        <f>GW292+GW310</f>
        <v>0</v>
      </c>
      <c r="GX291" s="181" t="e">
        <f>GX292+GX310</f>
        <v>#REF!</v>
      </c>
      <c r="GY291" s="181"/>
      <c r="GZ291" s="181"/>
      <c r="HA291" s="181"/>
      <c r="HB291" s="181"/>
      <c r="HC291" s="181"/>
      <c r="HD291" s="181"/>
      <c r="HE291" s="181"/>
      <c r="HF291" s="181"/>
      <c r="HG291" s="181" t="e">
        <f>HH291+HI291</f>
        <v>#REF!</v>
      </c>
      <c r="HH291" s="181" t="e">
        <f>HH292+HH310</f>
        <v>#REF!</v>
      </c>
      <c r="HI291" s="181">
        <f>HI292+HI310</f>
        <v>0</v>
      </c>
      <c r="HJ291" s="181" t="e">
        <f>HJ292+HJ310</f>
        <v>#REF!</v>
      </c>
      <c r="HK291" s="181" t="e">
        <f>HL291+HM291</f>
        <v>#REF!</v>
      </c>
      <c r="HL291" s="181" t="e">
        <f>HL292+HL310</f>
        <v>#REF!</v>
      </c>
      <c r="HM291" s="181">
        <f>HM292+HM310</f>
        <v>0</v>
      </c>
      <c r="HN291" s="181" t="e">
        <f>HN292+HN310</f>
        <v>#REF!</v>
      </c>
      <c r="HO291" s="181" t="e">
        <f>HP291+HQ291</f>
        <v>#REF!</v>
      </c>
      <c r="HP291" s="320" t="e">
        <f>HP292+HP310</f>
        <v>#REF!</v>
      </c>
      <c r="HQ291" s="181">
        <f>HQ292+HQ310</f>
        <v>0</v>
      </c>
      <c r="HR291" s="181">
        <f>HR292+HR310</f>
        <v>0</v>
      </c>
      <c r="HS291" s="181" t="e">
        <f>HT291+HU291</f>
        <v>#REF!</v>
      </c>
      <c r="HT291" s="181" t="e">
        <f>HT292+HT310</f>
        <v>#REF!</v>
      </c>
      <c r="HU291" s="181">
        <f>HU292+HU310</f>
        <v>0</v>
      </c>
      <c r="HV291" s="181" t="e">
        <f>HV292+HV310</f>
        <v>#REF!</v>
      </c>
      <c r="HW291" s="181" t="e">
        <f>HX291+HY291</f>
        <v>#REF!</v>
      </c>
      <c r="HX291" s="181" t="e">
        <f>HX292+HX310</f>
        <v>#REF!</v>
      </c>
      <c r="HY291" s="181">
        <f>HY292+HY310</f>
        <v>0</v>
      </c>
      <c r="HZ291" s="181" t="e">
        <f>HZ292+HZ310</f>
        <v>#REF!</v>
      </c>
      <c r="IA291" s="181" t="e">
        <f>IB291+IC291</f>
        <v>#REF!</v>
      </c>
      <c r="IB291" s="181" t="e">
        <f>IB292+IB310</f>
        <v>#REF!</v>
      </c>
      <c r="IC291" s="181">
        <f>IC292+IC310</f>
        <v>0</v>
      </c>
      <c r="ID291" s="181" t="e">
        <f>ID292+ID310</f>
        <v>#REF!</v>
      </c>
      <c r="IE291" s="321"/>
      <c r="IF291" s="183"/>
      <c r="IG291" s="183"/>
      <c r="IH291" s="183"/>
      <c r="II291" s="213"/>
      <c r="IJ291" s="213"/>
      <c r="IK291" s="213"/>
      <c r="IL291" s="213"/>
      <c r="IM291" s="213"/>
      <c r="IN291" s="213"/>
      <c r="IO291" s="213"/>
    </row>
    <row r="292" spans="2:249" s="267" customFormat="1" ht="66.75" hidden="1" customHeight="1" x14ac:dyDescent="0.2">
      <c r="B292" s="323" t="s">
        <v>134</v>
      </c>
      <c r="C292" s="291" t="s">
        <v>394</v>
      </c>
      <c r="D292" s="153" t="s">
        <v>395</v>
      </c>
      <c r="E292" s="153">
        <f t="shared" ref="E292:E298" si="644">F292+G292</f>
        <v>311400.33035999996</v>
      </c>
      <c r="F292" s="153">
        <f>F293+F294</f>
        <v>304970.33416999999</v>
      </c>
      <c r="G292" s="153">
        <f>G293+G294</f>
        <v>6429.9961899999998</v>
      </c>
      <c r="H292" s="153">
        <f t="shared" ref="H292:H298" si="645">I292+J292</f>
        <v>7.2759576141834259E-12</v>
      </c>
      <c r="I292" s="153">
        <f>I293+I294</f>
        <v>7.2759576141834259E-12</v>
      </c>
      <c r="J292" s="153">
        <f>J293+J294</f>
        <v>0</v>
      </c>
      <c r="K292" s="153">
        <f t="shared" ref="K292:K298" si="646">L292+M292</f>
        <v>311400.33035999996</v>
      </c>
      <c r="L292" s="153">
        <f>L293+L294</f>
        <v>304970.33416999999</v>
      </c>
      <c r="M292" s="153">
        <f>M293+M294</f>
        <v>6429.9961899999998</v>
      </c>
      <c r="N292" s="153">
        <f t="shared" ref="N292:N298" si="647">O292+P292</f>
        <v>0</v>
      </c>
      <c r="O292" s="153">
        <f>O293+O294</f>
        <v>0</v>
      </c>
      <c r="P292" s="153">
        <f>P293+P294</f>
        <v>0</v>
      </c>
      <c r="Q292" s="153">
        <f t="shared" ref="Q292:Q298" si="648">R292+S292</f>
        <v>311400.33035999996</v>
      </c>
      <c r="R292" s="153">
        <f>R293+R294</f>
        <v>304970.33416999999</v>
      </c>
      <c r="S292" s="153">
        <f>S293+S294</f>
        <v>6429.9961899999998</v>
      </c>
      <c r="T292" s="153">
        <f t="shared" ref="T292:T298" si="649">U292+V292</f>
        <v>247700</v>
      </c>
      <c r="U292" s="153">
        <f>U293+U294</f>
        <v>247700</v>
      </c>
      <c r="V292" s="153">
        <f>V293+V294</f>
        <v>0</v>
      </c>
      <c r="W292" s="153">
        <f t="shared" ref="W292:W298" si="650">X292+Y292</f>
        <v>63498.784280000007</v>
      </c>
      <c r="X292" s="153">
        <f t="shared" ref="X292:AN292" si="651">X293+X294</f>
        <v>63498.784280000007</v>
      </c>
      <c r="Y292" s="153">
        <f t="shared" si="651"/>
        <v>0</v>
      </c>
      <c r="Z292" s="153">
        <f t="shared" si="651"/>
        <v>311198.78428000002</v>
      </c>
      <c r="AA292" s="153">
        <f t="shared" si="651"/>
        <v>311198.78428000002</v>
      </c>
      <c r="AB292" s="153">
        <f t="shared" si="651"/>
        <v>0</v>
      </c>
      <c r="AC292" s="153">
        <f t="shared" si="651"/>
        <v>0</v>
      </c>
      <c r="AD292" s="153">
        <f t="shared" si="651"/>
        <v>0</v>
      </c>
      <c r="AE292" s="153">
        <f t="shared" si="651"/>
        <v>0</v>
      </c>
      <c r="AF292" s="153">
        <f t="shared" si="651"/>
        <v>311198.78428000002</v>
      </c>
      <c r="AG292" s="153">
        <f t="shared" si="651"/>
        <v>311198.78428000002</v>
      </c>
      <c r="AH292" s="153">
        <f t="shared" si="651"/>
        <v>0</v>
      </c>
      <c r="AI292" s="153">
        <f t="shared" si="651"/>
        <v>0</v>
      </c>
      <c r="AJ292" s="153">
        <f t="shared" si="651"/>
        <v>259255.57467</v>
      </c>
      <c r="AK292" s="153">
        <f t="shared" si="651"/>
        <v>30732.734270000001</v>
      </c>
      <c r="AL292" s="153">
        <f t="shared" si="651"/>
        <v>26903.971130000002</v>
      </c>
      <c r="AM292" s="153">
        <f t="shared" si="651"/>
        <v>0</v>
      </c>
      <c r="AN292" s="153">
        <f t="shared" si="651"/>
        <v>0</v>
      </c>
      <c r="AO292" s="153">
        <v>1</v>
      </c>
      <c r="AP292" s="153">
        <f t="shared" ref="AP292:BJ292" si="652">AP293+AP294</f>
        <v>259534.09055000002</v>
      </c>
      <c r="AQ292" s="153">
        <f t="shared" si="652"/>
        <v>20931.959460000002</v>
      </c>
      <c r="AR292" s="153">
        <f t="shared" si="652"/>
        <v>30732.734270000001</v>
      </c>
      <c r="AS292" s="153">
        <f t="shared" si="652"/>
        <v>262000</v>
      </c>
      <c r="AT292" s="153">
        <f t="shared" si="652"/>
        <v>262000</v>
      </c>
      <c r="AU292" s="153">
        <f t="shared" si="652"/>
        <v>0</v>
      </c>
      <c r="AV292" s="153">
        <f t="shared" si="652"/>
        <v>0</v>
      </c>
      <c r="AW292" s="153">
        <f t="shared" si="652"/>
        <v>0</v>
      </c>
      <c r="AX292" s="153">
        <f t="shared" si="652"/>
        <v>0</v>
      </c>
      <c r="AY292" s="153">
        <f t="shared" si="652"/>
        <v>262000</v>
      </c>
      <c r="AZ292" s="153">
        <f t="shared" si="652"/>
        <v>262000</v>
      </c>
      <c r="BA292" s="153">
        <f t="shared" si="652"/>
        <v>0</v>
      </c>
      <c r="BB292" s="153">
        <f t="shared" si="652"/>
        <v>262000</v>
      </c>
      <c r="BC292" s="153">
        <f t="shared" si="652"/>
        <v>262000</v>
      </c>
      <c r="BD292" s="153">
        <f t="shared" si="652"/>
        <v>0</v>
      </c>
      <c r="BE292" s="153">
        <f t="shared" si="652"/>
        <v>0</v>
      </c>
      <c r="BF292" s="153">
        <f t="shared" si="652"/>
        <v>0</v>
      </c>
      <c r="BG292" s="153">
        <f t="shared" si="652"/>
        <v>0</v>
      </c>
      <c r="BH292" s="153">
        <f t="shared" si="652"/>
        <v>234770.11370000002</v>
      </c>
      <c r="BI292" s="153">
        <f t="shared" si="652"/>
        <v>234770.11370000002</v>
      </c>
      <c r="BJ292" s="153">
        <f t="shared" si="652"/>
        <v>0</v>
      </c>
      <c r="BK292" s="153">
        <v>1</v>
      </c>
      <c r="BL292" s="153">
        <f t="shared" ref="BL292:CD292" si="653">BL293+BL294</f>
        <v>260000</v>
      </c>
      <c r="BM292" s="153">
        <f t="shared" si="653"/>
        <v>0</v>
      </c>
      <c r="BN292" s="153">
        <f t="shared" si="653"/>
        <v>0</v>
      </c>
      <c r="BO292" s="153">
        <f t="shared" si="653"/>
        <v>0</v>
      </c>
      <c r="BP292" s="153">
        <f t="shared" si="653"/>
        <v>0</v>
      </c>
      <c r="BQ292" s="153">
        <f t="shared" si="653"/>
        <v>0</v>
      </c>
      <c r="BR292" s="153">
        <f t="shared" si="653"/>
        <v>0</v>
      </c>
      <c r="BS292" s="153">
        <f t="shared" si="653"/>
        <v>234293.22948000001</v>
      </c>
      <c r="BT292" s="153">
        <f t="shared" si="653"/>
        <v>234293.22948000001</v>
      </c>
      <c r="BU292" s="153">
        <f t="shared" si="653"/>
        <v>0</v>
      </c>
      <c r="BV292" s="153">
        <f t="shared" si="653"/>
        <v>262000</v>
      </c>
      <c r="BW292" s="153">
        <f t="shared" si="653"/>
        <v>262000</v>
      </c>
      <c r="BX292" s="153">
        <f t="shared" si="653"/>
        <v>0</v>
      </c>
      <c r="BY292" s="153">
        <f t="shared" si="653"/>
        <v>-143095.93861000001</v>
      </c>
      <c r="BZ292" s="153">
        <f t="shared" si="653"/>
        <v>-143095.93861000001</v>
      </c>
      <c r="CA292" s="153">
        <f t="shared" si="653"/>
        <v>0</v>
      </c>
      <c r="CB292" s="153">
        <f t="shared" si="653"/>
        <v>91674.175090000004</v>
      </c>
      <c r="CC292" s="153">
        <f t="shared" si="653"/>
        <v>91674.175090000004</v>
      </c>
      <c r="CD292" s="153">
        <f t="shared" si="653"/>
        <v>0</v>
      </c>
      <c r="CE292" s="153">
        <v>1</v>
      </c>
      <c r="CF292" s="153">
        <f>CF293+CF294</f>
        <v>262000</v>
      </c>
      <c r="CG292" s="153"/>
      <c r="CH292" s="153">
        <f t="shared" ref="CH292:DH292" si="654">CH293+CH294</f>
        <v>262000</v>
      </c>
      <c r="CI292" s="153">
        <f t="shared" si="654"/>
        <v>262000</v>
      </c>
      <c r="CJ292" s="153">
        <f t="shared" si="654"/>
        <v>0</v>
      </c>
      <c r="CK292" s="153">
        <f t="shared" si="654"/>
        <v>0</v>
      </c>
      <c r="CL292" s="153">
        <f t="shared" si="654"/>
        <v>0</v>
      </c>
      <c r="CM292" s="153">
        <f t="shared" si="654"/>
        <v>0</v>
      </c>
      <c r="CN292" s="153">
        <f t="shared" si="654"/>
        <v>0</v>
      </c>
      <c r="CO292" s="153">
        <f t="shared" si="654"/>
        <v>0</v>
      </c>
      <c r="CP292" s="153">
        <f t="shared" si="654"/>
        <v>0</v>
      </c>
      <c r="CQ292" s="153">
        <f t="shared" si="654"/>
        <v>262000</v>
      </c>
      <c r="CR292" s="153">
        <f t="shared" si="654"/>
        <v>262000</v>
      </c>
      <c r="CS292" s="153">
        <f t="shared" si="654"/>
        <v>0</v>
      </c>
      <c r="CT292" s="153">
        <f t="shared" si="654"/>
        <v>78590</v>
      </c>
      <c r="CU292" s="153">
        <f t="shared" si="654"/>
        <v>78590</v>
      </c>
      <c r="CV292" s="153">
        <f t="shared" si="654"/>
        <v>0</v>
      </c>
      <c r="CW292" s="153">
        <f t="shared" si="654"/>
        <v>284816.88266</v>
      </c>
      <c r="CX292" s="153">
        <f t="shared" si="654"/>
        <v>284816.88266</v>
      </c>
      <c r="CY292" s="153">
        <f t="shared" si="654"/>
        <v>0</v>
      </c>
      <c r="CZ292" s="153">
        <f t="shared" si="654"/>
        <v>107000</v>
      </c>
      <c r="DA292" s="153">
        <f t="shared" si="654"/>
        <v>107000</v>
      </c>
      <c r="DB292" s="153">
        <f t="shared" si="654"/>
        <v>0</v>
      </c>
      <c r="DC292" s="153">
        <f t="shared" si="654"/>
        <v>15541.021500000001</v>
      </c>
      <c r="DD292" s="153">
        <f t="shared" si="654"/>
        <v>15541.021500000001</v>
      </c>
      <c r="DE292" s="153">
        <f t="shared" si="654"/>
        <v>0</v>
      </c>
      <c r="DF292" s="153">
        <f t="shared" si="654"/>
        <v>2900</v>
      </c>
      <c r="DG292" s="153">
        <f t="shared" si="654"/>
        <v>2900</v>
      </c>
      <c r="DH292" s="153">
        <f t="shared" si="654"/>
        <v>0</v>
      </c>
      <c r="DI292" s="192">
        <f t="shared" si="637"/>
        <v>287716.88266</v>
      </c>
      <c r="DJ292" s="153">
        <f t="shared" ref="DJ292:EC292" si="655">DJ293+DJ294</f>
        <v>287716.88266</v>
      </c>
      <c r="DK292" s="153">
        <f t="shared" si="655"/>
        <v>0</v>
      </c>
      <c r="DL292" s="153">
        <f t="shared" si="655"/>
        <v>56617.216199999995</v>
      </c>
      <c r="DM292" s="153">
        <f t="shared" si="655"/>
        <v>56617.216199999995</v>
      </c>
      <c r="DN292" s="153">
        <f t="shared" si="655"/>
        <v>0</v>
      </c>
      <c r="DO292" s="153">
        <f t="shared" si="655"/>
        <v>69024.860990000001</v>
      </c>
      <c r="DP292" s="153">
        <f t="shared" si="655"/>
        <v>69024.860990000001</v>
      </c>
      <c r="DQ292" s="153">
        <f t="shared" si="655"/>
        <v>0</v>
      </c>
      <c r="DR292" s="153">
        <f t="shared" si="655"/>
        <v>162074.80547000002</v>
      </c>
      <c r="DS292" s="153">
        <f t="shared" si="655"/>
        <v>162074.80547000002</v>
      </c>
      <c r="DT292" s="153">
        <f t="shared" si="655"/>
        <v>0</v>
      </c>
      <c r="DU292" s="153">
        <f t="shared" si="655"/>
        <v>225000</v>
      </c>
      <c r="DV292" s="153">
        <f t="shared" si="655"/>
        <v>225000</v>
      </c>
      <c r="DW292" s="153">
        <f t="shared" si="655"/>
        <v>0</v>
      </c>
      <c r="DX292" s="153">
        <f t="shared" si="655"/>
        <v>126950</v>
      </c>
      <c r="DY292" s="153">
        <f t="shared" si="655"/>
        <v>126950</v>
      </c>
      <c r="DZ292" s="153">
        <f t="shared" si="655"/>
        <v>0</v>
      </c>
      <c r="EA292" s="153">
        <f t="shared" si="655"/>
        <v>0</v>
      </c>
      <c r="EB292" s="153">
        <f t="shared" si="655"/>
        <v>0</v>
      </c>
      <c r="EC292" s="153">
        <f t="shared" si="655"/>
        <v>0</v>
      </c>
      <c r="ED292" s="192">
        <f>EE292</f>
        <v>390889.90194999997</v>
      </c>
      <c r="EE292" s="153">
        <f>EE293+EE294</f>
        <v>390889.90194999997</v>
      </c>
      <c r="EF292" s="153">
        <f>EF293+EF294</f>
        <v>0</v>
      </c>
      <c r="EG292" s="192">
        <f>DU292+DY292</f>
        <v>351950</v>
      </c>
      <c r="EH292" s="153">
        <f>EH293+EH294</f>
        <v>935075.77509999997</v>
      </c>
      <c r="EI292" s="153"/>
      <c r="EJ292" s="153">
        <f>EJ293+EJ294</f>
        <v>0</v>
      </c>
      <c r="EK292" s="153">
        <f>EK293+EK294</f>
        <v>-935075.77509999997</v>
      </c>
      <c r="EL292" s="153">
        <f>EL293+EL294</f>
        <v>-935075.77509999997</v>
      </c>
      <c r="EM292" s="153"/>
      <c r="EN292" s="153">
        <f>EN293+EN294</f>
        <v>0</v>
      </c>
      <c r="EO292" s="153">
        <f>EO293+EO294</f>
        <v>0</v>
      </c>
      <c r="EP292" s="153">
        <f>EP293+EP294</f>
        <v>0</v>
      </c>
      <c r="EQ292" s="153"/>
      <c r="ER292" s="153">
        <f>ER293+ER294</f>
        <v>0</v>
      </c>
      <c r="ES292" s="153">
        <f>ES293+ES294</f>
        <v>0</v>
      </c>
      <c r="ET292" s="153">
        <f>ET293+ET294</f>
        <v>0</v>
      </c>
      <c r="EU292" s="153"/>
      <c r="EV292" s="153">
        <f>EV293+EV294</f>
        <v>0</v>
      </c>
      <c r="EW292" s="153">
        <f>EW293+EW294</f>
        <v>225000</v>
      </c>
      <c r="EX292" s="153">
        <f>EX293+EX294</f>
        <v>225000</v>
      </c>
      <c r="EY292" s="153">
        <f>EY293+EY294</f>
        <v>0</v>
      </c>
      <c r="EZ292" s="192">
        <f t="shared" si="638"/>
        <v>526914.07441</v>
      </c>
      <c r="FA292" s="153">
        <f>FA293+FA294</f>
        <v>526914.07441</v>
      </c>
      <c r="FB292" s="153"/>
      <c r="FC292" s="201">
        <f t="shared" ref="FC292:FC328" si="656">FD292</f>
        <v>1144672.3720200001</v>
      </c>
      <c r="FD292" s="152">
        <f>FD293+FD294</f>
        <v>1144672.3720200001</v>
      </c>
      <c r="FE292" s="152"/>
      <c r="FF292" s="152"/>
      <c r="FG292" s="152">
        <f>SUM(FH292,FI292,FJ292)</f>
        <v>202699.08822999999</v>
      </c>
      <c r="FH292" s="152">
        <f>FH293+FH294</f>
        <v>202699.08822999999</v>
      </c>
      <c r="FI292" s="152"/>
      <c r="FJ292" s="152">
        <f>FJ293+FJ294</f>
        <v>0</v>
      </c>
      <c r="FK292" s="152">
        <f>FK293+FK294</f>
        <v>6000</v>
      </c>
      <c r="FL292" s="152">
        <f>FL293+FL294</f>
        <v>6000</v>
      </c>
      <c r="FM292" s="152"/>
      <c r="FN292" s="152">
        <f>FN293+FN294</f>
        <v>0</v>
      </c>
      <c r="FO292" s="201">
        <f>FC292+FG292</f>
        <v>1347371.46025</v>
      </c>
      <c r="FP292" s="152">
        <f>FP293+FP294</f>
        <v>1347371.46025</v>
      </c>
      <c r="FQ292" s="152"/>
      <c r="FR292" s="152">
        <f>FR293+FR294</f>
        <v>0</v>
      </c>
      <c r="FS292" s="152">
        <f t="shared" si="639"/>
        <v>238948.78021</v>
      </c>
      <c r="FT292" s="577">
        <f t="shared" si="640"/>
        <v>0.2087486219208102</v>
      </c>
      <c r="FU292" s="152">
        <f>FU293+FU294</f>
        <v>238948.78021</v>
      </c>
      <c r="FV292" s="577">
        <f t="shared" si="641"/>
        <v>0.2087486219208102</v>
      </c>
      <c r="FW292" s="658"/>
      <c r="FX292" s="577"/>
      <c r="FY292" s="658"/>
      <c r="FZ292" s="672"/>
      <c r="GA292" s="152">
        <f t="shared" si="642"/>
        <v>237095.85225</v>
      </c>
      <c r="GB292" s="577">
        <f>GA292/FC292</f>
        <v>0.20712988104325222</v>
      </c>
      <c r="GC292" s="152">
        <f>GC293+GC294</f>
        <v>237095.85225</v>
      </c>
      <c r="GD292" s="577">
        <f t="shared" ref="GD292:GD309" si="657">GC292/FD292</f>
        <v>0.20712988104325222</v>
      </c>
      <c r="GE292" s="152"/>
      <c r="GF292" s="577"/>
      <c r="GG292" s="152"/>
      <c r="GH292" s="577"/>
      <c r="GI292" s="152">
        <f t="shared" si="643"/>
        <v>782748.52042999992</v>
      </c>
      <c r="GJ292" s="577">
        <f t="shared" ref="GJ292:GJ359" si="658">GI292/FC292</f>
        <v>0.68381882848162556</v>
      </c>
      <c r="GK292" s="152">
        <f>GK293+GK294</f>
        <v>782748.52042999992</v>
      </c>
      <c r="GL292" s="577">
        <f t="shared" ref="GL292:GL357" si="659">GK292/FD292</f>
        <v>0.68381882848162556</v>
      </c>
      <c r="GM292" s="152"/>
      <c r="GN292" s="577"/>
      <c r="GO292" s="152"/>
      <c r="GP292" s="577"/>
      <c r="GQ292" s="308"/>
      <c r="GR292" s="308"/>
      <c r="GS292" s="308"/>
      <c r="GT292" s="308"/>
      <c r="GU292" s="192">
        <f t="shared" ref="GU292:GU310" si="660">GV292</f>
        <v>1322902.7</v>
      </c>
      <c r="GV292" s="153">
        <f>GV293+GV294</f>
        <v>1322902.7</v>
      </c>
      <c r="GW292" s="153"/>
      <c r="GX292" s="153">
        <f>GX293+GX294</f>
        <v>0</v>
      </c>
      <c r="GY292" s="153"/>
      <c r="GZ292" s="153"/>
      <c r="HA292" s="153"/>
      <c r="HB292" s="153"/>
      <c r="HC292" s="153"/>
      <c r="HD292" s="153"/>
      <c r="HE292" s="153"/>
      <c r="HF292" s="153"/>
      <c r="HG292" s="192">
        <f t="shared" ref="HG292:HG310" si="661">HH292</f>
        <v>0</v>
      </c>
      <c r="HH292" s="153">
        <f>HH293+HH294</f>
        <v>0</v>
      </c>
      <c r="HI292" s="153"/>
      <c r="HJ292" s="153">
        <f>HJ293+HJ294</f>
        <v>0</v>
      </c>
      <c r="HK292" s="192">
        <f t="shared" ref="HK292:HK310" si="662">HL292</f>
        <v>0</v>
      </c>
      <c r="HL292" s="153"/>
      <c r="HM292" s="153"/>
      <c r="HN292" s="153">
        <f>HN293+HN294</f>
        <v>0</v>
      </c>
      <c r="HO292" s="192">
        <f>GU292+HG292</f>
        <v>1322902.7</v>
      </c>
      <c r="HP292" s="153">
        <f>HP293+HP294</f>
        <v>1322902.7</v>
      </c>
      <c r="HQ292" s="153"/>
      <c r="HR292" s="153">
        <f>HR293+HR294</f>
        <v>0</v>
      </c>
      <c r="HS292" s="192">
        <f t="shared" ref="HS292:HS310" si="663">HT292</f>
        <v>0</v>
      </c>
      <c r="HT292" s="153">
        <f>HT293+HT294</f>
        <v>0</v>
      </c>
      <c r="HU292" s="153"/>
      <c r="HV292" s="153">
        <f>HV293+HV294</f>
        <v>0</v>
      </c>
      <c r="HW292" s="192">
        <f t="shared" ref="HW292:HW310" si="664">HX292</f>
        <v>0</v>
      </c>
      <c r="HX292" s="153"/>
      <c r="HY292" s="153"/>
      <c r="HZ292" s="153">
        <f>HZ293+HZ294</f>
        <v>0</v>
      </c>
      <c r="IA292" s="192">
        <f t="shared" ref="IA292:IA310" si="665">IB292</f>
        <v>0</v>
      </c>
      <c r="IB292" s="153">
        <f>IB293+IB294</f>
        <v>0</v>
      </c>
      <c r="IC292" s="153"/>
      <c r="ID292" s="153">
        <f>ID293+ID294</f>
        <v>0</v>
      </c>
      <c r="IE292" s="319"/>
      <c r="IF292" s="219"/>
      <c r="IG292" s="219"/>
      <c r="IH292" s="219"/>
    </row>
    <row r="293" spans="2:249" s="129" customFormat="1" ht="28.5" hidden="1" customHeight="1" x14ac:dyDescent="0.25">
      <c r="B293" s="324"/>
      <c r="C293" s="164" t="s">
        <v>396</v>
      </c>
      <c r="D293" s="325" t="s">
        <v>397</v>
      </c>
      <c r="E293" s="164">
        <f t="shared" si="644"/>
        <v>252043.97017999997</v>
      </c>
      <c r="F293" s="164">
        <f>F296+F299+F302+F305</f>
        <v>252043.97017999997</v>
      </c>
      <c r="G293" s="164">
        <f>G296+G299+G302+G305</f>
        <v>0</v>
      </c>
      <c r="H293" s="164">
        <f t="shared" si="645"/>
        <v>7.2759576141834259E-12</v>
      </c>
      <c r="I293" s="164">
        <f>I296+I299+I302+I305</f>
        <v>7.2759576141834259E-12</v>
      </c>
      <c r="J293" s="164">
        <f>J296+J299+J302+J305</f>
        <v>0</v>
      </c>
      <c r="K293" s="164">
        <f t="shared" si="646"/>
        <v>252043.97018</v>
      </c>
      <c r="L293" s="164">
        <f>L296+L299+L302+L305</f>
        <v>252043.97018</v>
      </c>
      <c r="M293" s="164">
        <f>M296+M299+M302+M305</f>
        <v>0</v>
      </c>
      <c r="N293" s="164">
        <f t="shared" si="647"/>
        <v>0</v>
      </c>
      <c r="O293" s="164">
        <f>O296+O299+O302+O305</f>
        <v>0</v>
      </c>
      <c r="P293" s="164">
        <f>P296+P299+P302+P305</f>
        <v>0</v>
      </c>
      <c r="Q293" s="164">
        <f t="shared" si="648"/>
        <v>252043.97018</v>
      </c>
      <c r="R293" s="164">
        <f>R296+R299+R302+R305</f>
        <v>252043.97018</v>
      </c>
      <c r="S293" s="164">
        <f>S296+S299+S302+S305</f>
        <v>0</v>
      </c>
      <c r="T293" s="164">
        <f t="shared" si="649"/>
        <v>247700</v>
      </c>
      <c r="U293" s="164">
        <f>U296+U299+U302+U305</f>
        <v>247700</v>
      </c>
      <c r="V293" s="164">
        <f>V296+V299+V302+V305</f>
        <v>0</v>
      </c>
      <c r="W293" s="164">
        <f t="shared" si="650"/>
        <v>25174.96230000001</v>
      </c>
      <c r="X293" s="164">
        <f t="shared" ref="X293:AN294" si="666">X296+X299+X302+X305</f>
        <v>25174.96230000001</v>
      </c>
      <c r="Y293" s="164">
        <f t="shared" si="666"/>
        <v>0</v>
      </c>
      <c r="Z293" s="164">
        <f t="shared" si="666"/>
        <v>272874.96230000001</v>
      </c>
      <c r="AA293" s="164">
        <f t="shared" si="666"/>
        <v>272874.96230000001</v>
      </c>
      <c r="AB293" s="164">
        <f t="shared" si="666"/>
        <v>0</v>
      </c>
      <c r="AC293" s="164">
        <f t="shared" si="666"/>
        <v>0</v>
      </c>
      <c r="AD293" s="164">
        <f t="shared" si="666"/>
        <v>0</v>
      </c>
      <c r="AE293" s="164">
        <f t="shared" si="666"/>
        <v>0</v>
      </c>
      <c r="AF293" s="164">
        <f t="shared" si="666"/>
        <v>272874.96230000001</v>
      </c>
      <c r="AG293" s="164">
        <f t="shared" si="666"/>
        <v>272874.96230000001</v>
      </c>
      <c r="AH293" s="164">
        <f t="shared" si="666"/>
        <v>0</v>
      </c>
      <c r="AI293" s="164">
        <f t="shared" si="666"/>
        <v>0</v>
      </c>
      <c r="AJ293" s="164">
        <f t="shared" si="666"/>
        <v>225521.36230000001</v>
      </c>
      <c r="AK293" s="164">
        <f t="shared" si="666"/>
        <v>26746.553980000001</v>
      </c>
      <c r="AL293" s="164">
        <f t="shared" si="666"/>
        <v>0</v>
      </c>
      <c r="AM293" s="164">
        <f t="shared" si="666"/>
        <v>0</v>
      </c>
      <c r="AN293" s="164">
        <f t="shared" si="666"/>
        <v>0</v>
      </c>
      <c r="AO293" s="164">
        <v>1</v>
      </c>
      <c r="AP293" s="164">
        <f t="shared" ref="AP293:CD294" si="667">AP296+AP299+AP302+AP305</f>
        <v>225521.36230000001</v>
      </c>
      <c r="AQ293" s="164">
        <f t="shared" si="667"/>
        <v>20607.046020000002</v>
      </c>
      <c r="AR293" s="164">
        <f t="shared" si="667"/>
        <v>26746.553980000001</v>
      </c>
      <c r="AS293" s="164">
        <f t="shared" si="667"/>
        <v>260000</v>
      </c>
      <c r="AT293" s="164">
        <f t="shared" si="667"/>
        <v>260000</v>
      </c>
      <c r="AU293" s="164">
        <f t="shared" si="667"/>
        <v>0</v>
      </c>
      <c r="AV293" s="164">
        <f t="shared" si="667"/>
        <v>0</v>
      </c>
      <c r="AW293" s="164">
        <f t="shared" si="667"/>
        <v>0</v>
      </c>
      <c r="AX293" s="164">
        <f t="shared" si="667"/>
        <v>0</v>
      </c>
      <c r="AY293" s="164">
        <f t="shared" si="667"/>
        <v>260000</v>
      </c>
      <c r="AZ293" s="164">
        <f t="shared" si="667"/>
        <v>260000</v>
      </c>
      <c r="BA293" s="164">
        <f t="shared" si="667"/>
        <v>0</v>
      </c>
      <c r="BB293" s="164">
        <f t="shared" si="667"/>
        <v>262000</v>
      </c>
      <c r="BC293" s="164">
        <f t="shared" si="667"/>
        <v>262000</v>
      </c>
      <c r="BD293" s="164">
        <f t="shared" si="667"/>
        <v>0</v>
      </c>
      <c r="BE293" s="164">
        <f t="shared" si="667"/>
        <v>0</v>
      </c>
      <c r="BF293" s="164">
        <f t="shared" si="667"/>
        <v>0</v>
      </c>
      <c r="BG293" s="164">
        <f t="shared" si="667"/>
        <v>0</v>
      </c>
      <c r="BH293" s="164">
        <f t="shared" si="667"/>
        <v>232293.22948000001</v>
      </c>
      <c r="BI293" s="164">
        <f t="shared" si="667"/>
        <v>232293.22948000001</v>
      </c>
      <c r="BJ293" s="164">
        <f t="shared" si="667"/>
        <v>0</v>
      </c>
      <c r="BK293" s="164">
        <f t="shared" si="667"/>
        <v>4</v>
      </c>
      <c r="BL293" s="164">
        <f t="shared" si="667"/>
        <v>260000</v>
      </c>
      <c r="BM293" s="164">
        <f t="shared" si="667"/>
        <v>0</v>
      </c>
      <c r="BN293" s="164">
        <f t="shared" si="667"/>
        <v>0</v>
      </c>
      <c r="BO293" s="164">
        <f t="shared" si="667"/>
        <v>0</v>
      </c>
      <c r="BP293" s="164">
        <f t="shared" si="667"/>
        <v>0</v>
      </c>
      <c r="BQ293" s="164">
        <f t="shared" si="667"/>
        <v>0</v>
      </c>
      <c r="BR293" s="164">
        <f t="shared" si="667"/>
        <v>0</v>
      </c>
      <c r="BS293" s="164">
        <f t="shared" si="667"/>
        <v>232293.22948000001</v>
      </c>
      <c r="BT293" s="164">
        <f t="shared" si="667"/>
        <v>232293.22948000001</v>
      </c>
      <c r="BU293" s="164">
        <f t="shared" si="667"/>
        <v>0</v>
      </c>
      <c r="BV293" s="164">
        <f t="shared" si="667"/>
        <v>262000</v>
      </c>
      <c r="BW293" s="164">
        <f t="shared" si="667"/>
        <v>262000</v>
      </c>
      <c r="BX293" s="164">
        <f t="shared" si="667"/>
        <v>0</v>
      </c>
      <c r="BY293" s="164">
        <f t="shared" si="667"/>
        <v>-149854.80285000001</v>
      </c>
      <c r="BZ293" s="164">
        <f t="shared" si="667"/>
        <v>-149854.80285000001</v>
      </c>
      <c r="CA293" s="164">
        <f t="shared" si="667"/>
        <v>0</v>
      </c>
      <c r="CB293" s="164">
        <f t="shared" si="667"/>
        <v>82438.426630000002</v>
      </c>
      <c r="CC293" s="164">
        <f t="shared" si="667"/>
        <v>82438.426630000002</v>
      </c>
      <c r="CD293" s="164">
        <f t="shared" si="667"/>
        <v>0</v>
      </c>
      <c r="CE293" s="164">
        <v>1</v>
      </c>
      <c r="CF293" s="164">
        <f t="shared" ref="CF293:CF306" si="668">BV293</f>
        <v>262000</v>
      </c>
      <c r="CG293" s="164"/>
      <c r="CH293" s="164">
        <f t="shared" ref="CH293:DB294" si="669">CH296+CH299+CH302+CH305</f>
        <v>260000</v>
      </c>
      <c r="CI293" s="164">
        <f t="shared" si="669"/>
        <v>260000</v>
      </c>
      <c r="CJ293" s="164">
        <f t="shared" si="669"/>
        <v>0</v>
      </c>
      <c r="CK293" s="164">
        <f t="shared" si="669"/>
        <v>0</v>
      </c>
      <c r="CL293" s="164">
        <f t="shared" si="669"/>
        <v>0</v>
      </c>
      <c r="CM293" s="164">
        <f t="shared" si="669"/>
        <v>0</v>
      </c>
      <c r="CN293" s="164">
        <f t="shared" si="669"/>
        <v>0</v>
      </c>
      <c r="CO293" s="164">
        <f t="shared" si="669"/>
        <v>0</v>
      </c>
      <c r="CP293" s="164">
        <f t="shared" si="669"/>
        <v>0</v>
      </c>
      <c r="CQ293" s="164">
        <f t="shared" si="669"/>
        <v>260000</v>
      </c>
      <c r="CR293" s="164">
        <f t="shared" si="669"/>
        <v>260000</v>
      </c>
      <c r="CS293" s="164">
        <f t="shared" si="669"/>
        <v>0</v>
      </c>
      <c r="CT293" s="164">
        <f t="shared" si="669"/>
        <v>78590</v>
      </c>
      <c r="CU293" s="164">
        <f t="shared" si="669"/>
        <v>78590</v>
      </c>
      <c r="CV293" s="164">
        <f t="shared" si="669"/>
        <v>0</v>
      </c>
      <c r="CW293" s="164">
        <f t="shared" si="669"/>
        <v>228431.54642</v>
      </c>
      <c r="CX293" s="164">
        <f t="shared" si="669"/>
        <v>228431.54642</v>
      </c>
      <c r="CY293" s="164">
        <f t="shared" si="669"/>
        <v>0</v>
      </c>
      <c r="CZ293" s="164">
        <f t="shared" si="669"/>
        <v>105000</v>
      </c>
      <c r="DA293" s="164">
        <f t="shared" si="669"/>
        <v>105000</v>
      </c>
      <c r="DB293" s="164">
        <f t="shared" si="669"/>
        <v>0</v>
      </c>
      <c r="DC293" s="164">
        <f>DD293</f>
        <v>0</v>
      </c>
      <c r="DD293" s="164">
        <f>DD302</f>
        <v>0</v>
      </c>
      <c r="DE293" s="164"/>
      <c r="DF293" s="164">
        <f t="shared" ref="DF293:DH294" si="670">DF296+DF299+DF302+DF305</f>
        <v>0</v>
      </c>
      <c r="DG293" s="164">
        <f t="shared" si="670"/>
        <v>0</v>
      </c>
      <c r="DH293" s="164">
        <f t="shared" si="670"/>
        <v>0</v>
      </c>
      <c r="DI293" s="181">
        <f t="shared" si="637"/>
        <v>228431.54642</v>
      </c>
      <c r="DJ293" s="164">
        <f t="shared" ref="DJ293:EC294" si="671">DJ296+DJ299+DJ302+DJ305</f>
        <v>228431.54642</v>
      </c>
      <c r="DK293" s="164">
        <f t="shared" si="671"/>
        <v>0</v>
      </c>
      <c r="DL293" s="164">
        <f t="shared" si="671"/>
        <v>48521.650219999996</v>
      </c>
      <c r="DM293" s="164">
        <f t="shared" si="671"/>
        <v>48521.650219999996</v>
      </c>
      <c r="DN293" s="164">
        <f t="shared" si="671"/>
        <v>0</v>
      </c>
      <c r="DO293" s="164">
        <f t="shared" si="671"/>
        <v>63217.905590000002</v>
      </c>
      <c r="DP293" s="164">
        <f t="shared" si="671"/>
        <v>63217.905590000002</v>
      </c>
      <c r="DQ293" s="164">
        <f t="shared" si="671"/>
        <v>0</v>
      </c>
      <c r="DR293" s="164">
        <f t="shared" si="671"/>
        <v>116691.99061000002</v>
      </c>
      <c r="DS293" s="164">
        <f t="shared" si="671"/>
        <v>116691.99061000002</v>
      </c>
      <c r="DT293" s="164">
        <f t="shared" si="671"/>
        <v>0</v>
      </c>
      <c r="DU293" s="164">
        <f t="shared" si="671"/>
        <v>204560.30984</v>
      </c>
      <c r="DV293" s="164">
        <f t="shared" si="671"/>
        <v>204560.30984</v>
      </c>
      <c r="DW293" s="164">
        <f t="shared" si="671"/>
        <v>0</v>
      </c>
      <c r="DX293" s="164">
        <f t="shared" si="671"/>
        <v>120950</v>
      </c>
      <c r="DY293" s="164">
        <f t="shared" si="671"/>
        <v>120950</v>
      </c>
      <c r="DZ293" s="164">
        <f t="shared" si="671"/>
        <v>0</v>
      </c>
      <c r="EA293" s="164">
        <f t="shared" si="671"/>
        <v>0</v>
      </c>
      <c r="EB293" s="164">
        <f t="shared" si="671"/>
        <v>0</v>
      </c>
      <c r="EC293" s="164">
        <f t="shared" si="671"/>
        <v>0</v>
      </c>
      <c r="ED293" s="181">
        <f>EE293+EE313</f>
        <v>308717.53379999998</v>
      </c>
      <c r="EE293" s="164">
        <f>EE296+EE299+EE302+EE305</f>
        <v>308717.53379999998</v>
      </c>
      <c r="EF293" s="164"/>
      <c r="EG293" s="181">
        <f t="shared" ref="EG293:EG310" si="672">EH293</f>
        <v>826463.71678999998</v>
      </c>
      <c r="EH293" s="164">
        <f>EH296+EH299+EH302+EH305+EH307</f>
        <v>826463.71678999998</v>
      </c>
      <c r="EI293" s="164"/>
      <c r="EJ293" s="164">
        <f t="shared" ref="EJ293:EO294" si="673">EJ296+EJ299+EJ302+EJ305</f>
        <v>0</v>
      </c>
      <c r="EK293" s="164">
        <f t="shared" si="673"/>
        <v>-826463.71678999998</v>
      </c>
      <c r="EL293" s="164">
        <f>EL296+EL299+EL302+EL305</f>
        <v>-826463.71678999998</v>
      </c>
      <c r="EM293" s="164"/>
      <c r="EN293" s="164">
        <f t="shared" si="673"/>
        <v>0</v>
      </c>
      <c r="EO293" s="164">
        <f t="shared" si="673"/>
        <v>0</v>
      </c>
      <c r="EP293" s="164">
        <f>EP296+EP299+EP302+EP305</f>
        <v>0</v>
      </c>
      <c r="EQ293" s="164"/>
      <c r="ER293" s="164">
        <f>ER296+ER299+ER302+ER305</f>
        <v>0</v>
      </c>
      <c r="ES293" s="164">
        <f t="shared" ref="ES293:ES298" si="674">ET293+EV293</f>
        <v>0</v>
      </c>
      <c r="ET293" s="164">
        <f>ET296+ET299+ET302+ET305</f>
        <v>0</v>
      </c>
      <c r="EU293" s="164"/>
      <c r="EV293" s="164"/>
      <c r="EW293" s="164">
        <f>EW296+EW299+EW302+EW305</f>
        <v>210925.05053000001</v>
      </c>
      <c r="EX293" s="164">
        <f>EX296+EX299+EX302+EX305</f>
        <v>210925.05053000001</v>
      </c>
      <c r="EY293" s="164">
        <f>EY296+EY299+EY302+EY305</f>
        <v>0</v>
      </c>
      <c r="EZ293" s="181">
        <f t="shared" si="638"/>
        <v>332520.46347999998</v>
      </c>
      <c r="FA293" s="164">
        <f>FA296+FA299+FA302</f>
        <v>332520.46347999998</v>
      </c>
      <c r="FB293" s="164"/>
      <c r="FC293" s="180">
        <f t="shared" si="656"/>
        <v>878842.35458000004</v>
      </c>
      <c r="FD293" s="163">
        <f>FD296+FD299+FD302+FD305</f>
        <v>878842.35458000004</v>
      </c>
      <c r="FE293" s="163"/>
      <c r="FF293" s="163"/>
      <c r="FG293" s="163">
        <f>FG296+FG299+FG302+FG305</f>
        <v>185934.73663</v>
      </c>
      <c r="FH293" s="163">
        <f>FH296+FH299+FH302+FH305</f>
        <v>185934.73663</v>
      </c>
      <c r="FI293" s="163"/>
      <c r="FJ293" s="163">
        <f t="shared" ref="FJ293:FL294" si="675">FJ296+FJ299+FJ302+FJ305</f>
        <v>0</v>
      </c>
      <c r="FK293" s="163">
        <f t="shared" si="675"/>
        <v>0</v>
      </c>
      <c r="FL293" s="163">
        <f t="shared" si="675"/>
        <v>0</v>
      </c>
      <c r="FM293" s="163"/>
      <c r="FN293" s="163">
        <f>FN296+FN299+FN302+FN305</f>
        <v>0</v>
      </c>
      <c r="FO293" s="180">
        <f t="shared" ref="FO293:FO306" si="676">FP293</f>
        <v>1064777.09121</v>
      </c>
      <c r="FP293" s="163">
        <f>FP296+FP299+FP302+FP305+FP307</f>
        <v>1064777.09121</v>
      </c>
      <c r="FQ293" s="163"/>
      <c r="FR293" s="163">
        <f>FR296+FR299+FR302+FR305</f>
        <v>0</v>
      </c>
      <c r="FS293" s="163">
        <f t="shared" si="639"/>
        <v>147922.18312999999</v>
      </c>
      <c r="FT293" s="577">
        <f t="shared" si="640"/>
        <v>0.16831480908847662</v>
      </c>
      <c r="FU293" s="163">
        <f>FU296+FU299+FU302+FU305</f>
        <v>147922.18312999999</v>
      </c>
      <c r="FV293" s="577">
        <f t="shared" si="641"/>
        <v>0.16831480908847662</v>
      </c>
      <c r="FW293" s="164"/>
      <c r="FX293" s="577"/>
      <c r="FY293" s="164"/>
      <c r="FZ293" s="672"/>
      <c r="GA293" s="163">
        <f t="shared" si="642"/>
        <v>143872.32183999999</v>
      </c>
      <c r="GB293" s="577">
        <f t="shared" ref="GB293:GB303" si="677">GA293/FC293</f>
        <v>0.16370663190073123</v>
      </c>
      <c r="GC293" s="163">
        <f>GC296+GC299+GC302+GC305</f>
        <v>143872.32183999999</v>
      </c>
      <c r="GD293" s="577">
        <f t="shared" si="657"/>
        <v>0.16370663190073123</v>
      </c>
      <c r="GE293" s="164"/>
      <c r="GF293" s="577"/>
      <c r="GG293" s="163"/>
      <c r="GH293" s="577"/>
      <c r="GI293" s="163">
        <f t="shared" si="643"/>
        <v>571495.23809999996</v>
      </c>
      <c r="GJ293" s="577">
        <f t="shared" si="658"/>
        <v>0.65028185671947769</v>
      </c>
      <c r="GK293" s="163">
        <f>GK296+GK299+GK302+GK305</f>
        <v>571495.23809999996</v>
      </c>
      <c r="GL293" s="577">
        <f t="shared" si="659"/>
        <v>0.65028185671947769</v>
      </c>
      <c r="GM293" s="163"/>
      <c r="GN293" s="577"/>
      <c r="GO293" s="163"/>
      <c r="GP293" s="577"/>
      <c r="GQ293" s="164"/>
      <c r="GR293" s="164"/>
      <c r="GS293" s="164"/>
      <c r="GT293" s="164"/>
      <c r="GU293" s="181">
        <f t="shared" si="660"/>
        <v>1305419.0199899999</v>
      </c>
      <c r="GV293" s="164">
        <f>GV296+GV299+GV302+GV305+GV307</f>
        <v>1305419.0199899999</v>
      </c>
      <c r="GW293" s="164"/>
      <c r="GX293" s="164">
        <f>GX296+GX299+GX302+GX305</f>
        <v>0</v>
      </c>
      <c r="GY293" s="164"/>
      <c r="GZ293" s="164"/>
      <c r="HA293" s="164"/>
      <c r="HB293" s="164"/>
      <c r="HC293" s="164"/>
      <c r="HD293" s="164"/>
      <c r="HE293" s="164"/>
      <c r="HF293" s="164"/>
      <c r="HG293" s="181">
        <f t="shared" si="661"/>
        <v>0</v>
      </c>
      <c r="HH293" s="164">
        <f>HH296+HH299+HH302</f>
        <v>0</v>
      </c>
      <c r="HI293" s="164"/>
      <c r="HJ293" s="164">
        <f>HJ296+HJ299+HJ302+HJ305</f>
        <v>0</v>
      </c>
      <c r="HK293" s="181">
        <f t="shared" si="662"/>
        <v>0</v>
      </c>
      <c r="HL293" s="164">
        <f>HL296+HL299+HL305</f>
        <v>0</v>
      </c>
      <c r="HM293" s="164"/>
      <c r="HN293" s="164">
        <f>HN296+HN299+HN302+HN305</f>
        <v>0</v>
      </c>
      <c r="HO293" s="181">
        <f t="shared" ref="HO293:HO310" si="678">HP293</f>
        <v>1305419.0199899999</v>
      </c>
      <c r="HP293" s="163">
        <f>HP296+HP299+HP302+HP305+HP307</f>
        <v>1305419.0199899999</v>
      </c>
      <c r="HQ293" s="164"/>
      <c r="HR293" s="164"/>
      <c r="HS293" s="181">
        <f t="shared" si="663"/>
        <v>0</v>
      </c>
      <c r="HT293" s="164">
        <f>HT296+HT299+HT302+HT305+HT307</f>
        <v>0</v>
      </c>
      <c r="HU293" s="164"/>
      <c r="HV293" s="164">
        <f>HV296+HV299+HV302+HV305</f>
        <v>0</v>
      </c>
      <c r="HW293" s="181">
        <f t="shared" si="664"/>
        <v>0</v>
      </c>
      <c r="HX293" s="164">
        <f>HX296+HX299+HX305</f>
        <v>0</v>
      </c>
      <c r="HY293" s="164"/>
      <c r="HZ293" s="164">
        <f>HZ296+HZ299+HZ302+HZ305</f>
        <v>0</v>
      </c>
      <c r="IA293" s="181">
        <f t="shared" si="665"/>
        <v>0</v>
      </c>
      <c r="IB293" s="164">
        <f>IB296+IB299+IB302+IB305+IB307</f>
        <v>0</v>
      </c>
      <c r="IC293" s="164"/>
      <c r="ID293" s="164">
        <f>ID296+ID299+ID302+ID305</f>
        <v>0</v>
      </c>
      <c r="IE293" s="326"/>
      <c r="IF293" s="170"/>
      <c r="IG293" s="170"/>
      <c r="IH293" s="170"/>
    </row>
    <row r="294" spans="2:249" s="129" customFormat="1" ht="34.5" hidden="1" customHeight="1" x14ac:dyDescent="0.25">
      <c r="B294" s="324"/>
      <c r="C294" s="164" t="s">
        <v>172</v>
      </c>
      <c r="D294" s="325" t="s">
        <v>398</v>
      </c>
      <c r="E294" s="164">
        <f t="shared" si="644"/>
        <v>59356.360179999996</v>
      </c>
      <c r="F294" s="164">
        <f>F297+F300+F303+F306</f>
        <v>52926.363989999998</v>
      </c>
      <c r="G294" s="164">
        <f>G297+G300+G303+G306</f>
        <v>6429.9961899999998</v>
      </c>
      <c r="H294" s="164">
        <f t="shared" si="645"/>
        <v>0</v>
      </c>
      <c r="I294" s="164">
        <f>I297+I300+I303+I306</f>
        <v>0</v>
      </c>
      <c r="J294" s="164">
        <f>J297+J300+J303+J306</f>
        <v>0</v>
      </c>
      <c r="K294" s="164">
        <f t="shared" si="646"/>
        <v>59356.360179999996</v>
      </c>
      <c r="L294" s="164">
        <f>L297+L300+L303+L306</f>
        <v>52926.363989999998</v>
      </c>
      <c r="M294" s="164">
        <f>M297+M300+M303+M306</f>
        <v>6429.9961899999998</v>
      </c>
      <c r="N294" s="164">
        <f t="shared" si="647"/>
        <v>0</v>
      </c>
      <c r="O294" s="164">
        <f>O297+O300+O303+O306</f>
        <v>0</v>
      </c>
      <c r="P294" s="164">
        <f>P297+P300+P303+P306</f>
        <v>0</v>
      </c>
      <c r="Q294" s="164">
        <f t="shared" si="648"/>
        <v>59356.360179999996</v>
      </c>
      <c r="R294" s="164">
        <f>R297+R300+R303+R306</f>
        <v>52926.363989999998</v>
      </c>
      <c r="S294" s="164">
        <f>S297+S300+S303+S306</f>
        <v>6429.9961899999998</v>
      </c>
      <c r="T294" s="164">
        <f t="shared" si="649"/>
        <v>0</v>
      </c>
      <c r="U294" s="164">
        <f>U297+U300+U303+U306</f>
        <v>0</v>
      </c>
      <c r="V294" s="164">
        <f>V297+V300+V303+V306</f>
        <v>0</v>
      </c>
      <c r="W294" s="164">
        <f t="shared" si="650"/>
        <v>38323.821980000001</v>
      </c>
      <c r="X294" s="164">
        <f t="shared" si="666"/>
        <v>38323.821980000001</v>
      </c>
      <c r="Y294" s="164">
        <f t="shared" si="666"/>
        <v>0</v>
      </c>
      <c r="Z294" s="164">
        <f t="shared" si="666"/>
        <v>38323.821980000001</v>
      </c>
      <c r="AA294" s="164">
        <f t="shared" si="666"/>
        <v>38323.821980000001</v>
      </c>
      <c r="AB294" s="164">
        <f t="shared" si="666"/>
        <v>0</v>
      </c>
      <c r="AC294" s="164">
        <f t="shared" si="666"/>
        <v>0</v>
      </c>
      <c r="AD294" s="164">
        <f t="shared" si="666"/>
        <v>0</v>
      </c>
      <c r="AE294" s="164">
        <f t="shared" si="666"/>
        <v>0</v>
      </c>
      <c r="AF294" s="164">
        <f t="shared" si="666"/>
        <v>38323.821980000001</v>
      </c>
      <c r="AG294" s="164">
        <f t="shared" si="666"/>
        <v>38323.821980000001</v>
      </c>
      <c r="AH294" s="164">
        <f t="shared" si="666"/>
        <v>0</v>
      </c>
      <c r="AI294" s="164">
        <f t="shared" si="666"/>
        <v>0</v>
      </c>
      <c r="AJ294" s="164">
        <f t="shared" si="666"/>
        <v>33734.212370000001</v>
      </c>
      <c r="AK294" s="164">
        <f t="shared" si="666"/>
        <v>3986.1802899999998</v>
      </c>
      <c r="AL294" s="164">
        <f t="shared" si="666"/>
        <v>26903.971130000002</v>
      </c>
      <c r="AM294" s="164">
        <f t="shared" si="666"/>
        <v>0</v>
      </c>
      <c r="AN294" s="164">
        <f t="shared" si="666"/>
        <v>0</v>
      </c>
      <c r="AO294" s="164">
        <v>1</v>
      </c>
      <c r="AP294" s="164">
        <f t="shared" si="667"/>
        <v>34012.72825</v>
      </c>
      <c r="AQ294" s="164">
        <f t="shared" si="667"/>
        <v>324.91343999999998</v>
      </c>
      <c r="AR294" s="164">
        <f t="shared" si="667"/>
        <v>3986.1802899999998</v>
      </c>
      <c r="AS294" s="164">
        <f t="shared" si="667"/>
        <v>2000</v>
      </c>
      <c r="AT294" s="164">
        <f t="shared" si="667"/>
        <v>2000</v>
      </c>
      <c r="AU294" s="164">
        <f t="shared" si="667"/>
        <v>0</v>
      </c>
      <c r="AV294" s="164">
        <f>AW294+AX294</f>
        <v>0</v>
      </c>
      <c r="AW294" s="164"/>
      <c r="AX294" s="164">
        <f>AX297+AX300+AX303+AX306</f>
        <v>0</v>
      </c>
      <c r="AY294" s="164">
        <f>AZ294+BA294</f>
        <v>2000</v>
      </c>
      <c r="AZ294" s="164">
        <f>AT294+AW294</f>
        <v>2000</v>
      </c>
      <c r="BA294" s="164">
        <f t="shared" si="667"/>
        <v>0</v>
      </c>
      <c r="BB294" s="164">
        <f t="shared" si="667"/>
        <v>0</v>
      </c>
      <c r="BC294" s="164">
        <f t="shared" si="667"/>
        <v>0</v>
      </c>
      <c r="BD294" s="164">
        <f t="shared" si="667"/>
        <v>0</v>
      </c>
      <c r="BE294" s="164">
        <f t="shared" si="667"/>
        <v>0</v>
      </c>
      <c r="BF294" s="164">
        <f t="shared" si="667"/>
        <v>0</v>
      </c>
      <c r="BG294" s="164">
        <f t="shared" si="667"/>
        <v>0</v>
      </c>
      <c r="BH294" s="164">
        <f>BI294+BJ294</f>
        <v>2476.8842199999999</v>
      </c>
      <c r="BI294" s="164">
        <f>BI300</f>
        <v>2476.8842199999999</v>
      </c>
      <c r="BJ294" s="164">
        <f t="shared" si="667"/>
        <v>0</v>
      </c>
      <c r="BK294" s="164">
        <f t="shared" si="667"/>
        <v>4</v>
      </c>
      <c r="BL294" s="164">
        <f t="shared" si="667"/>
        <v>0</v>
      </c>
      <c r="BM294" s="164">
        <f t="shared" si="667"/>
        <v>0</v>
      </c>
      <c r="BN294" s="164">
        <f t="shared" si="667"/>
        <v>0</v>
      </c>
      <c r="BO294" s="164">
        <f t="shared" si="667"/>
        <v>0</v>
      </c>
      <c r="BP294" s="164">
        <f t="shared" si="667"/>
        <v>0</v>
      </c>
      <c r="BQ294" s="164">
        <f t="shared" si="667"/>
        <v>0</v>
      </c>
      <c r="BR294" s="164">
        <f t="shared" si="667"/>
        <v>0</v>
      </c>
      <c r="BS294" s="164">
        <f>BT294+BU294</f>
        <v>2000</v>
      </c>
      <c r="BT294" s="164">
        <f>AZ294</f>
        <v>2000</v>
      </c>
      <c r="BU294" s="164">
        <f t="shared" si="667"/>
        <v>0</v>
      </c>
      <c r="BV294" s="164">
        <f t="shared" si="667"/>
        <v>0</v>
      </c>
      <c r="BW294" s="164">
        <f t="shared" si="667"/>
        <v>0</v>
      </c>
      <c r="BX294" s="164">
        <f t="shared" si="667"/>
        <v>0</v>
      </c>
      <c r="BY294" s="164">
        <f t="shared" si="667"/>
        <v>6758.8642400000008</v>
      </c>
      <c r="BZ294" s="164">
        <f t="shared" si="667"/>
        <v>6758.8642400000008</v>
      </c>
      <c r="CA294" s="164">
        <f t="shared" si="667"/>
        <v>0</v>
      </c>
      <c r="CB294" s="164">
        <f t="shared" si="667"/>
        <v>9235.7484600000007</v>
      </c>
      <c r="CC294" s="164">
        <f t="shared" si="667"/>
        <v>9235.7484600000007</v>
      </c>
      <c r="CD294" s="164">
        <f t="shared" si="667"/>
        <v>0</v>
      </c>
      <c r="CE294" s="164">
        <v>1</v>
      </c>
      <c r="CF294" s="164">
        <f t="shared" si="668"/>
        <v>0</v>
      </c>
      <c r="CG294" s="164"/>
      <c r="CH294" s="164">
        <f>CH297+CH300+CH303+CH306</f>
        <v>2000</v>
      </c>
      <c r="CI294" s="164">
        <f>CI297+CI300+CI303+CI306</f>
        <v>2000</v>
      </c>
      <c r="CJ294" s="164">
        <f>CJ297+CJ300+CJ303+CJ306</f>
        <v>0</v>
      </c>
      <c r="CK294" s="164">
        <f>CL294+CM294</f>
        <v>0</v>
      </c>
      <c r="CL294" s="164"/>
      <c r="CM294" s="164">
        <f>CM297+CM300+CM303+CM306</f>
        <v>0</v>
      </c>
      <c r="CN294" s="164">
        <f>CO294+CP294</f>
        <v>0</v>
      </c>
      <c r="CO294" s="164"/>
      <c r="CP294" s="164">
        <f>CP297+CP300+CP303+CP306</f>
        <v>0</v>
      </c>
      <c r="CQ294" s="164">
        <f>CR294+CS294</f>
        <v>2000</v>
      </c>
      <c r="CR294" s="164">
        <f t="shared" si="669"/>
        <v>2000</v>
      </c>
      <c r="CS294" s="164">
        <f t="shared" si="669"/>
        <v>0</v>
      </c>
      <c r="CT294" s="164">
        <f t="shared" si="669"/>
        <v>0</v>
      </c>
      <c r="CU294" s="164">
        <f t="shared" si="669"/>
        <v>0</v>
      </c>
      <c r="CV294" s="164">
        <f t="shared" si="669"/>
        <v>0</v>
      </c>
      <c r="CW294" s="164">
        <f t="shared" si="669"/>
        <v>56385.336240000004</v>
      </c>
      <c r="CX294" s="164">
        <f t="shared" si="669"/>
        <v>56385.336240000004</v>
      </c>
      <c r="CY294" s="164">
        <f t="shared" si="669"/>
        <v>0</v>
      </c>
      <c r="CZ294" s="164">
        <f>DA294+DB294</f>
        <v>2000</v>
      </c>
      <c r="DA294" s="164">
        <f>DA297+DA300+DA303+DA306</f>
        <v>2000</v>
      </c>
      <c r="DB294" s="164">
        <f>DB297+DB300+DB303+DB306</f>
        <v>0</v>
      </c>
      <c r="DC294" s="164">
        <f>DD294</f>
        <v>15541.021500000001</v>
      </c>
      <c r="DD294" s="164">
        <f>DD303</f>
        <v>15541.021500000001</v>
      </c>
      <c r="DE294" s="164"/>
      <c r="DF294" s="164">
        <f t="shared" si="670"/>
        <v>2900</v>
      </c>
      <c r="DG294" s="164">
        <f t="shared" si="670"/>
        <v>2900</v>
      </c>
      <c r="DH294" s="164">
        <f t="shared" si="670"/>
        <v>0</v>
      </c>
      <c r="DI294" s="181">
        <f t="shared" si="637"/>
        <v>59285.336240000004</v>
      </c>
      <c r="DJ294" s="164">
        <f t="shared" si="671"/>
        <v>59285.336240000004</v>
      </c>
      <c r="DK294" s="164">
        <f t="shared" si="671"/>
        <v>0</v>
      </c>
      <c r="DL294" s="164">
        <f t="shared" si="671"/>
        <v>8095.5659799999994</v>
      </c>
      <c r="DM294" s="164">
        <f t="shared" si="671"/>
        <v>8095.5659799999994</v>
      </c>
      <c r="DN294" s="164">
        <f t="shared" si="671"/>
        <v>0</v>
      </c>
      <c r="DO294" s="164">
        <f t="shared" si="671"/>
        <v>5806.9553999999998</v>
      </c>
      <c r="DP294" s="164">
        <f t="shared" si="671"/>
        <v>5806.9553999999998</v>
      </c>
      <c r="DQ294" s="164">
        <f t="shared" si="671"/>
        <v>0</v>
      </c>
      <c r="DR294" s="164">
        <f t="shared" si="671"/>
        <v>45382.814860000006</v>
      </c>
      <c r="DS294" s="164">
        <f t="shared" si="671"/>
        <v>45382.814860000006</v>
      </c>
      <c r="DT294" s="164">
        <f t="shared" si="671"/>
        <v>0</v>
      </c>
      <c r="DU294" s="164">
        <f>DV294+DW294</f>
        <v>20439.690160000002</v>
      </c>
      <c r="DV294" s="164">
        <f>DV297+DV300+DV303+DV306</f>
        <v>20439.690160000002</v>
      </c>
      <c r="DW294" s="164">
        <f>DW297+DW300+DW303+DW306</f>
        <v>0</v>
      </c>
      <c r="DX294" s="164">
        <f>DY294+DZ294</f>
        <v>6000</v>
      </c>
      <c r="DY294" s="164">
        <f>DY297+DY300+DY303+DY306</f>
        <v>6000</v>
      </c>
      <c r="DZ294" s="164">
        <f>DZ297+DZ300+DZ303+DZ306</f>
        <v>0</v>
      </c>
      <c r="EA294" s="164">
        <f>EB294+EC294</f>
        <v>0</v>
      </c>
      <c r="EB294" s="164">
        <f>EB297+EB300+EB303+EB306</f>
        <v>0</v>
      </c>
      <c r="EC294" s="164">
        <f>EC297+EC300+EC303+EC306</f>
        <v>0</v>
      </c>
      <c r="ED294" s="181">
        <f>EE294+EE316</f>
        <v>105472.36814999999</v>
      </c>
      <c r="EE294" s="164">
        <f>EE297+EE300+EE303+EE306</f>
        <v>82172.368149999995</v>
      </c>
      <c r="EF294" s="164"/>
      <c r="EG294" s="181">
        <f t="shared" si="672"/>
        <v>108612.05830999999</v>
      </c>
      <c r="EH294" s="164">
        <f>EH297+EH300+EH303+EH306</f>
        <v>108612.05830999999</v>
      </c>
      <c r="EI294" s="164"/>
      <c r="EJ294" s="164">
        <f t="shared" si="673"/>
        <v>0</v>
      </c>
      <c r="EK294" s="164">
        <f t="shared" si="673"/>
        <v>-108612.05830999999</v>
      </c>
      <c r="EL294" s="164">
        <f>EL297+EL300+EL303+EL306</f>
        <v>-108612.05830999999</v>
      </c>
      <c r="EM294" s="164"/>
      <c r="EN294" s="164">
        <f t="shared" si="673"/>
        <v>0</v>
      </c>
      <c r="EO294" s="164">
        <f t="shared" si="673"/>
        <v>0</v>
      </c>
      <c r="EP294" s="164">
        <f>EP297+EP300+EP303+EP306</f>
        <v>0</v>
      </c>
      <c r="EQ294" s="164"/>
      <c r="ER294" s="164">
        <f>ER297+ER300+ER303+ER306</f>
        <v>0</v>
      </c>
      <c r="ES294" s="164">
        <f t="shared" si="674"/>
        <v>0</v>
      </c>
      <c r="ET294" s="164">
        <f>ET297+ET300+ET303+ET306</f>
        <v>0</v>
      </c>
      <c r="EU294" s="164"/>
      <c r="EV294" s="164"/>
      <c r="EW294" s="164">
        <f>EX294+EY294</f>
        <v>14074.94947</v>
      </c>
      <c r="EX294" s="164">
        <f>EX297+EX300+EX303</f>
        <v>14074.94947</v>
      </c>
      <c r="EY294" s="164">
        <f>EY297+EY300+EY303+EY306</f>
        <v>0</v>
      </c>
      <c r="EZ294" s="181">
        <f t="shared" si="638"/>
        <v>194393.61093</v>
      </c>
      <c r="FA294" s="164">
        <f>FA297+FA300+FA303</f>
        <v>194393.61093</v>
      </c>
      <c r="FB294" s="164"/>
      <c r="FC294" s="180">
        <f t="shared" si="656"/>
        <v>265830.01744000003</v>
      </c>
      <c r="FD294" s="163">
        <f>FD297+FD300+FD303+FD306+FD309</f>
        <v>265830.01744000003</v>
      </c>
      <c r="FE294" s="163"/>
      <c r="FF294" s="163"/>
      <c r="FG294" s="163">
        <f>FG297+FG300+FG303+FG306</f>
        <v>16764.351599999987</v>
      </c>
      <c r="FH294" s="163">
        <f>FH297+FH300+FH303+FH306+FH309</f>
        <v>16764.351599999987</v>
      </c>
      <c r="FI294" s="163"/>
      <c r="FJ294" s="163">
        <f t="shared" si="675"/>
        <v>0</v>
      </c>
      <c r="FK294" s="163">
        <f t="shared" si="675"/>
        <v>6000</v>
      </c>
      <c r="FL294" s="163">
        <f t="shared" si="675"/>
        <v>6000</v>
      </c>
      <c r="FM294" s="163"/>
      <c r="FN294" s="163">
        <f>FN297+FN300+FN303+FN306</f>
        <v>0</v>
      </c>
      <c r="FO294" s="180">
        <f t="shared" si="676"/>
        <v>282594.36904000002</v>
      </c>
      <c r="FP294" s="163">
        <f>FP297+FP300+FP303+FP306+FP309</f>
        <v>282594.36904000002</v>
      </c>
      <c r="FQ294" s="163"/>
      <c r="FR294" s="163">
        <f>FR297+FR300+FR303+FR306</f>
        <v>0</v>
      </c>
      <c r="FS294" s="163">
        <f t="shared" si="639"/>
        <v>91026.597079999992</v>
      </c>
      <c r="FT294" s="577">
        <f t="shared" si="640"/>
        <v>0.34242407218193643</v>
      </c>
      <c r="FU294" s="163">
        <f>FU297+FU300+FU303+FU306+FU309</f>
        <v>91026.597079999992</v>
      </c>
      <c r="FV294" s="577">
        <f t="shared" si="641"/>
        <v>0.34242407218193643</v>
      </c>
      <c r="FW294" s="164"/>
      <c r="FX294" s="577"/>
      <c r="FY294" s="164"/>
      <c r="FZ294" s="672"/>
      <c r="GA294" s="163">
        <f t="shared" si="642"/>
        <v>93223.530409999992</v>
      </c>
      <c r="GB294" s="577">
        <f t="shared" si="677"/>
        <v>0.35068850127522294</v>
      </c>
      <c r="GC294" s="163">
        <f>GC297+GC300+GC303+GC306+GC309</f>
        <v>93223.530409999992</v>
      </c>
      <c r="GD294" s="577">
        <f t="shared" si="657"/>
        <v>0.35068850127522294</v>
      </c>
      <c r="GE294" s="164"/>
      <c r="GF294" s="577"/>
      <c r="GG294" s="163"/>
      <c r="GH294" s="577"/>
      <c r="GI294" s="163">
        <f t="shared" si="643"/>
        <v>211253.28232999999</v>
      </c>
      <c r="GJ294" s="577">
        <f t="shared" si="658"/>
        <v>0.79469310638585633</v>
      </c>
      <c r="GK294" s="163">
        <f>GK297+GK300+GK303+GK306+GK309</f>
        <v>211253.28232999999</v>
      </c>
      <c r="GL294" s="577">
        <f t="shared" si="659"/>
        <v>0.79469310638585633</v>
      </c>
      <c r="GM294" s="163"/>
      <c r="GN294" s="577"/>
      <c r="GO294" s="163"/>
      <c r="GP294" s="577"/>
      <c r="GQ294" s="164"/>
      <c r="GR294" s="164"/>
      <c r="GS294" s="164"/>
      <c r="GT294" s="164"/>
      <c r="GU294" s="181">
        <f t="shared" si="660"/>
        <v>17483.68001</v>
      </c>
      <c r="GV294" s="164">
        <f>GV297+GV300+GV303+GV306</f>
        <v>17483.68001</v>
      </c>
      <c r="GW294" s="164"/>
      <c r="GX294" s="164">
        <f>GX297+GX300+GX303+GX306</f>
        <v>0</v>
      </c>
      <c r="GY294" s="164"/>
      <c r="GZ294" s="164"/>
      <c r="HA294" s="164"/>
      <c r="HB294" s="164"/>
      <c r="HC294" s="164"/>
      <c r="HD294" s="164"/>
      <c r="HE294" s="164"/>
      <c r="HF294" s="164"/>
      <c r="HG294" s="181">
        <f t="shared" si="661"/>
        <v>0</v>
      </c>
      <c r="HH294" s="164">
        <f>HH297+HH300+HH303</f>
        <v>0</v>
      </c>
      <c r="HI294" s="164"/>
      <c r="HJ294" s="164">
        <f>HJ297+HJ300+HJ303+HJ306</f>
        <v>0</v>
      </c>
      <c r="HK294" s="181">
        <f t="shared" si="662"/>
        <v>0</v>
      </c>
      <c r="HL294" s="164">
        <f>HL306</f>
        <v>0</v>
      </c>
      <c r="HM294" s="164"/>
      <c r="HN294" s="164">
        <f>HN297+HN300+HN303+HN306</f>
        <v>0</v>
      </c>
      <c r="HO294" s="181">
        <f t="shared" si="678"/>
        <v>17483.68001</v>
      </c>
      <c r="HP294" s="163">
        <f>HP297+HP300+HP303+HP306</f>
        <v>17483.68001</v>
      </c>
      <c r="HQ294" s="164"/>
      <c r="HR294" s="164"/>
      <c r="HS294" s="181">
        <f t="shared" si="663"/>
        <v>0</v>
      </c>
      <c r="HT294" s="164">
        <f>HT297+HT300+HT303+HT306</f>
        <v>0</v>
      </c>
      <c r="HU294" s="164"/>
      <c r="HV294" s="164">
        <f>HV297+HV300+HV303+HV306</f>
        <v>0</v>
      </c>
      <c r="HW294" s="181">
        <f t="shared" si="664"/>
        <v>0</v>
      </c>
      <c r="HX294" s="164">
        <f>HX306</f>
        <v>0</v>
      </c>
      <c r="HY294" s="164"/>
      <c r="HZ294" s="164">
        <f>HZ297+HZ300+HZ303+HZ306</f>
        <v>0</v>
      </c>
      <c r="IA294" s="181">
        <f t="shared" si="665"/>
        <v>0</v>
      </c>
      <c r="IB294" s="164">
        <f>IB297+IB300+IB303+IB306</f>
        <v>0</v>
      </c>
      <c r="IC294" s="164"/>
      <c r="ID294" s="164">
        <f>ID297+ID300+ID303+ID306</f>
        <v>0</v>
      </c>
      <c r="IE294" s="326"/>
      <c r="IF294" s="170"/>
      <c r="IG294" s="170"/>
      <c r="IH294" s="170"/>
    </row>
    <row r="295" spans="2:249" s="240" customFormat="1" ht="42.75" hidden="1" customHeight="1" x14ac:dyDescent="0.25">
      <c r="B295" s="324"/>
      <c r="C295" s="266" t="s">
        <v>399</v>
      </c>
      <c r="D295" s="325"/>
      <c r="E295" s="164">
        <f t="shared" si="644"/>
        <v>71911.265060000005</v>
      </c>
      <c r="F295" s="164">
        <f>F296+F297</f>
        <v>71911.265060000005</v>
      </c>
      <c r="G295" s="164">
        <f>G296+G297</f>
        <v>0</v>
      </c>
      <c r="H295" s="164">
        <f t="shared" si="645"/>
        <v>-200.05253999999695</v>
      </c>
      <c r="I295" s="164">
        <f>I296+I297</f>
        <v>-200.05253999999695</v>
      </c>
      <c r="J295" s="164">
        <f>J296+J297</f>
        <v>0</v>
      </c>
      <c r="K295" s="164">
        <f t="shared" si="646"/>
        <v>71711.212520000001</v>
      </c>
      <c r="L295" s="164">
        <f>L296+L297</f>
        <v>71711.212520000001</v>
      </c>
      <c r="M295" s="164">
        <f>M296+M297</f>
        <v>0</v>
      </c>
      <c r="N295" s="164">
        <f t="shared" si="647"/>
        <v>0</v>
      </c>
      <c r="O295" s="164">
        <f>O296+O297</f>
        <v>0</v>
      </c>
      <c r="P295" s="164">
        <f>P296+P297</f>
        <v>0</v>
      </c>
      <c r="Q295" s="164">
        <f t="shared" si="648"/>
        <v>71711.212520000001</v>
      </c>
      <c r="R295" s="164">
        <f>R296+R297</f>
        <v>71711.212520000001</v>
      </c>
      <c r="S295" s="164">
        <f>S296+S297</f>
        <v>0</v>
      </c>
      <c r="T295" s="164">
        <f t="shared" si="649"/>
        <v>0</v>
      </c>
      <c r="U295" s="164">
        <f>U296+U297</f>
        <v>0</v>
      </c>
      <c r="V295" s="164">
        <f>V296+V297</f>
        <v>0</v>
      </c>
      <c r="W295" s="164">
        <f t="shared" si="650"/>
        <v>21210.475340000001</v>
      </c>
      <c r="X295" s="164">
        <f>X296+X297</f>
        <v>21210.475340000001</v>
      </c>
      <c r="Y295" s="164">
        <f>Y296+Y297</f>
        <v>0</v>
      </c>
      <c r="Z295" s="164">
        <f>AA295+AB295</f>
        <v>21210.475340000001</v>
      </c>
      <c r="AA295" s="164">
        <f>AA296+AA297</f>
        <v>21210.475340000001</v>
      </c>
      <c r="AB295" s="164">
        <f>AB296+AB297</f>
        <v>0</v>
      </c>
      <c r="AC295" s="164">
        <f>AD295+AE295</f>
        <v>0</v>
      </c>
      <c r="AD295" s="164">
        <f>AD296+AD297</f>
        <v>0</v>
      </c>
      <c r="AE295" s="164">
        <f>AE296+AE297</f>
        <v>0</v>
      </c>
      <c r="AF295" s="164">
        <f>AG295+AH295</f>
        <v>21210.475340000001</v>
      </c>
      <c r="AG295" s="164">
        <f t="shared" ref="AG295:AN295" si="679">AG296+AG297</f>
        <v>21210.475340000001</v>
      </c>
      <c r="AH295" s="164">
        <f t="shared" si="679"/>
        <v>0</v>
      </c>
      <c r="AI295" s="164">
        <f t="shared" si="679"/>
        <v>0</v>
      </c>
      <c r="AJ295" s="164">
        <f t="shared" si="679"/>
        <v>0</v>
      </c>
      <c r="AK295" s="164">
        <f t="shared" si="679"/>
        <v>0</v>
      </c>
      <c r="AL295" s="164">
        <f t="shared" si="679"/>
        <v>0</v>
      </c>
      <c r="AM295" s="164">
        <f t="shared" si="679"/>
        <v>0</v>
      </c>
      <c r="AN295" s="164">
        <f t="shared" si="679"/>
        <v>0</v>
      </c>
      <c r="AO295" s="164">
        <v>1</v>
      </c>
      <c r="AP295" s="164">
        <f>AP296+AP297</f>
        <v>278.51587999999998</v>
      </c>
      <c r="AQ295" s="164">
        <f>AQ296+AQ297</f>
        <v>20931.959460000002</v>
      </c>
      <c r="AR295" s="164">
        <f>AR296+AR297</f>
        <v>0</v>
      </c>
      <c r="AS295" s="164">
        <f>AT295+AU295</f>
        <v>0</v>
      </c>
      <c r="AT295" s="164">
        <f>AT296+AT297</f>
        <v>0</v>
      </c>
      <c r="AU295" s="164">
        <f>AU296+AU297</f>
        <v>0</v>
      </c>
      <c r="AV295" s="164">
        <f>AW295+AX295</f>
        <v>0</v>
      </c>
      <c r="AW295" s="164">
        <f>AW296+AW297</f>
        <v>0</v>
      </c>
      <c r="AX295" s="164">
        <f>AX296+AX297</f>
        <v>0</v>
      </c>
      <c r="AY295" s="164">
        <f>AZ295+BA295</f>
        <v>0</v>
      </c>
      <c r="AZ295" s="164">
        <f>AT295</f>
        <v>0</v>
      </c>
      <c r="BA295" s="164">
        <f t="shared" ref="BA295:BG295" si="680">BA296+BA297</f>
        <v>0</v>
      </c>
      <c r="BB295" s="164">
        <f t="shared" si="680"/>
        <v>0</v>
      </c>
      <c r="BC295" s="164">
        <f t="shared" si="680"/>
        <v>0</v>
      </c>
      <c r="BD295" s="164">
        <f t="shared" si="680"/>
        <v>0</v>
      </c>
      <c r="BE295" s="164">
        <f t="shared" si="680"/>
        <v>0</v>
      </c>
      <c r="BF295" s="164">
        <f t="shared" si="680"/>
        <v>0</v>
      </c>
      <c r="BG295" s="164">
        <f t="shared" si="680"/>
        <v>0</v>
      </c>
      <c r="BH295" s="164">
        <f>BI295+BJ295</f>
        <v>0</v>
      </c>
      <c r="BI295" s="164">
        <f>BC295</f>
        <v>0</v>
      </c>
      <c r="BJ295" s="164">
        <f t="shared" ref="BJ295:BU295" si="681">BJ296+BJ297</f>
        <v>0</v>
      </c>
      <c r="BK295" s="164">
        <f t="shared" si="681"/>
        <v>2</v>
      </c>
      <c r="BL295" s="164">
        <f t="shared" si="681"/>
        <v>0</v>
      </c>
      <c r="BM295" s="164">
        <f t="shared" si="681"/>
        <v>0</v>
      </c>
      <c r="BN295" s="164">
        <f t="shared" si="681"/>
        <v>0</v>
      </c>
      <c r="BO295" s="164">
        <f t="shared" si="681"/>
        <v>0</v>
      </c>
      <c r="BP295" s="164">
        <f t="shared" si="681"/>
        <v>0</v>
      </c>
      <c r="BQ295" s="164">
        <f t="shared" si="681"/>
        <v>0</v>
      </c>
      <c r="BR295" s="164">
        <f t="shared" si="681"/>
        <v>0</v>
      </c>
      <c r="BS295" s="164">
        <f t="shared" si="681"/>
        <v>0</v>
      </c>
      <c r="BT295" s="164">
        <f t="shared" si="681"/>
        <v>0</v>
      </c>
      <c r="BU295" s="164">
        <f t="shared" si="681"/>
        <v>0</v>
      </c>
      <c r="BV295" s="164">
        <f>BW295+BX295</f>
        <v>0</v>
      </c>
      <c r="BW295" s="164">
        <f>BW296+BW297</f>
        <v>0</v>
      </c>
      <c r="BX295" s="164">
        <f>BX296+BX297</f>
        <v>0</v>
      </c>
      <c r="BY295" s="164">
        <f>BZ295+CA295</f>
        <v>0</v>
      </c>
      <c r="BZ295" s="164">
        <f>BZ296+BZ297</f>
        <v>0</v>
      </c>
      <c r="CA295" s="164">
        <f>CA296+CA297</f>
        <v>0</v>
      </c>
      <c r="CB295" s="164">
        <f>CC295+CD295</f>
        <v>0</v>
      </c>
      <c r="CC295" s="164">
        <f>CC296+CC297</f>
        <v>0</v>
      </c>
      <c r="CD295" s="164">
        <f>CD296+CD297</f>
        <v>0</v>
      </c>
      <c r="CE295" s="164">
        <v>1</v>
      </c>
      <c r="CF295" s="164">
        <f t="shared" si="668"/>
        <v>0</v>
      </c>
      <c r="CG295" s="164"/>
      <c r="CH295" s="164">
        <f>CI295+CJ295</f>
        <v>0</v>
      </c>
      <c r="CI295" s="164">
        <f>CI296+CI297</f>
        <v>0</v>
      </c>
      <c r="CJ295" s="164">
        <f>CJ296+CJ297</f>
        <v>0</v>
      </c>
      <c r="CK295" s="164">
        <f>CL295+CM295</f>
        <v>0</v>
      </c>
      <c r="CL295" s="164">
        <f>CL296+CL297</f>
        <v>0</v>
      </c>
      <c r="CM295" s="164">
        <f>CM296+CM297</f>
        <v>0</v>
      </c>
      <c r="CN295" s="164">
        <f>CO295+CP295</f>
        <v>0</v>
      </c>
      <c r="CO295" s="164">
        <f>CO296+CO297</f>
        <v>0</v>
      </c>
      <c r="CP295" s="164">
        <f>CP296+CP297</f>
        <v>0</v>
      </c>
      <c r="CQ295" s="164">
        <f>CR295+CS295</f>
        <v>0</v>
      </c>
      <c r="CR295" s="164">
        <f>CR296+CR297</f>
        <v>0</v>
      </c>
      <c r="CS295" s="164">
        <f>CS296+CS297</f>
        <v>0</v>
      </c>
      <c r="CT295" s="164">
        <f>CU295+CV295</f>
        <v>0</v>
      </c>
      <c r="CU295" s="164">
        <f>CU296+CU297</f>
        <v>0</v>
      </c>
      <c r="CV295" s="164">
        <f>CV296+CV297</f>
        <v>0</v>
      </c>
      <c r="CW295" s="164">
        <f>CX295+CY295</f>
        <v>26052.8014</v>
      </c>
      <c r="CX295" s="164">
        <f>CX296+CX297</f>
        <v>26052.8014</v>
      </c>
      <c r="CY295" s="164">
        <f>CY296+CY297</f>
        <v>0</v>
      </c>
      <c r="CZ295" s="164">
        <f>DA295+DB295</f>
        <v>0</v>
      </c>
      <c r="DA295" s="164">
        <f>DA296+DA297</f>
        <v>0</v>
      </c>
      <c r="DB295" s="164">
        <f>DB296+DB297</f>
        <v>0</v>
      </c>
      <c r="DC295" s="164"/>
      <c r="DD295" s="164"/>
      <c r="DE295" s="164"/>
      <c r="DF295" s="164">
        <f>DG295+DH295</f>
        <v>0</v>
      </c>
      <c r="DG295" s="164">
        <f>DG296+DG297</f>
        <v>0</v>
      </c>
      <c r="DH295" s="164">
        <f>DH296+DH297</f>
        <v>0</v>
      </c>
      <c r="DI295" s="181">
        <f t="shared" si="637"/>
        <v>26052.8014</v>
      </c>
      <c r="DJ295" s="164">
        <f>DJ296+DJ297</f>
        <v>26052.8014</v>
      </c>
      <c r="DK295" s="164">
        <f>DK296+DK297</f>
        <v>0</v>
      </c>
      <c r="DL295" s="164">
        <f>DM295+DN295</f>
        <v>13275.83207</v>
      </c>
      <c r="DM295" s="164">
        <f>DM296+DM297</f>
        <v>13275.83207</v>
      </c>
      <c r="DN295" s="164">
        <f>DN296+DN297</f>
        <v>0</v>
      </c>
      <c r="DO295" s="164">
        <f>DP295+DQ295</f>
        <v>8123.7343099999998</v>
      </c>
      <c r="DP295" s="164">
        <f>DP296+DP297</f>
        <v>8123.7343099999998</v>
      </c>
      <c r="DQ295" s="164">
        <f>DQ296+DQ297</f>
        <v>0</v>
      </c>
      <c r="DR295" s="164">
        <f>DS295+DT295</f>
        <v>4653.2350200000001</v>
      </c>
      <c r="DS295" s="164">
        <f>DS296+DS297</f>
        <v>4653.2350200000001</v>
      </c>
      <c r="DT295" s="164">
        <f>DT296+DT297</f>
        <v>0</v>
      </c>
      <c r="DU295" s="164">
        <f>DV295+DW295</f>
        <v>41820.754119999998</v>
      </c>
      <c r="DV295" s="164">
        <f>DV296+DV297</f>
        <v>41820.754119999998</v>
      </c>
      <c r="DW295" s="164">
        <f>DW296+DW297</f>
        <v>0</v>
      </c>
      <c r="DX295" s="164">
        <f>DY295+DZ295</f>
        <v>0</v>
      </c>
      <c r="DY295" s="164">
        <f>DY296+DY297</f>
        <v>0</v>
      </c>
      <c r="DZ295" s="164">
        <f>DZ296+DZ297</f>
        <v>0</v>
      </c>
      <c r="EA295" s="164"/>
      <c r="EB295" s="164"/>
      <c r="EC295" s="164"/>
      <c r="ED295" s="181">
        <f>EE295+EE317</f>
        <v>-5141.4419500000022</v>
      </c>
      <c r="EE295" s="164">
        <f>EE296+EE297</f>
        <v>-5141.4419500000022</v>
      </c>
      <c r="EF295" s="164"/>
      <c r="EG295" s="181">
        <f t="shared" si="672"/>
        <v>36679.312169999997</v>
      </c>
      <c r="EH295" s="164">
        <f>EH296+EH297</f>
        <v>36679.312169999997</v>
      </c>
      <c r="EI295" s="164"/>
      <c r="EJ295" s="164">
        <f>EJ296+EJ297</f>
        <v>0</v>
      </c>
      <c r="EK295" s="164">
        <f>EL295+EN295</f>
        <v>-36679.312169999997</v>
      </c>
      <c r="EL295" s="164">
        <f>EL296+EL297</f>
        <v>-36679.312169999997</v>
      </c>
      <c r="EM295" s="164"/>
      <c r="EN295" s="164">
        <f>EN296+EN297</f>
        <v>0</v>
      </c>
      <c r="EO295" s="164">
        <f>EP295+ER295</f>
        <v>0</v>
      </c>
      <c r="EP295" s="164">
        <f>EP296+EP297</f>
        <v>0</v>
      </c>
      <c r="EQ295" s="164"/>
      <c r="ER295" s="164">
        <f>ER296+ER297</f>
        <v>0</v>
      </c>
      <c r="ES295" s="164">
        <f t="shared" si="674"/>
        <v>0</v>
      </c>
      <c r="ET295" s="164">
        <f>ET296+ET297</f>
        <v>0</v>
      </c>
      <c r="EU295" s="164"/>
      <c r="EV295" s="164"/>
      <c r="EW295" s="164">
        <f>EX295+EY295</f>
        <v>40876.512170000002</v>
      </c>
      <c r="EX295" s="164">
        <f>EX296+EX297</f>
        <v>40876.512170000002</v>
      </c>
      <c r="EY295" s="164">
        <f>EY296+EY297</f>
        <v>0</v>
      </c>
      <c r="EZ295" s="181">
        <f t="shared" si="638"/>
        <v>-5242.9522700000016</v>
      </c>
      <c r="FA295" s="164">
        <f>FA296+FA297</f>
        <v>-5242.9522700000016</v>
      </c>
      <c r="FB295" s="164"/>
      <c r="FC295" s="180">
        <f t="shared" si="656"/>
        <v>35633.5599</v>
      </c>
      <c r="FD295" s="163">
        <f>FD296+FD297</f>
        <v>35633.5599</v>
      </c>
      <c r="FE295" s="163"/>
      <c r="FF295" s="163"/>
      <c r="FG295" s="163">
        <f>FH295+FJ295</f>
        <v>13025.183289999997</v>
      </c>
      <c r="FH295" s="163">
        <f>FH296+FH297</f>
        <v>13025.183289999997</v>
      </c>
      <c r="FI295" s="163"/>
      <c r="FJ295" s="163">
        <f>FJ296+FJ297</f>
        <v>0</v>
      </c>
      <c r="FK295" s="163">
        <f>FL295+FN295</f>
        <v>0</v>
      </c>
      <c r="FL295" s="163">
        <f>FL296+FL297</f>
        <v>0</v>
      </c>
      <c r="FM295" s="163"/>
      <c r="FN295" s="163">
        <f>FN296+FN297</f>
        <v>0</v>
      </c>
      <c r="FO295" s="180">
        <f t="shared" si="676"/>
        <v>48658.743189999994</v>
      </c>
      <c r="FP295" s="163">
        <f>FP296+FP297</f>
        <v>48658.743189999994</v>
      </c>
      <c r="FQ295" s="163"/>
      <c r="FR295" s="163">
        <f>FR296+FR297</f>
        <v>0</v>
      </c>
      <c r="FS295" s="163">
        <f t="shared" si="639"/>
        <v>2725.1646799999999</v>
      </c>
      <c r="FT295" s="577">
        <f t="shared" si="640"/>
        <v>7.6477474820022123E-2</v>
      </c>
      <c r="FU295" s="163">
        <f>FU297</f>
        <v>2725.1646799999999</v>
      </c>
      <c r="FV295" s="577">
        <f t="shared" si="641"/>
        <v>7.6477474820022123E-2</v>
      </c>
      <c r="FW295" s="164"/>
      <c r="FX295" s="577"/>
      <c r="FY295" s="164"/>
      <c r="FZ295" s="672"/>
      <c r="GA295" s="163">
        <f t="shared" si="642"/>
        <v>2528.46018</v>
      </c>
      <c r="GB295" s="577">
        <f t="shared" si="677"/>
        <v>7.0957271378322209E-2</v>
      </c>
      <c r="GC295" s="163">
        <f>GC296+GC297</f>
        <v>2528.46018</v>
      </c>
      <c r="GD295" s="577">
        <f t="shared" si="657"/>
        <v>7.0957271378322209E-2</v>
      </c>
      <c r="GE295" s="164"/>
      <c r="GF295" s="577"/>
      <c r="GG295" s="163"/>
      <c r="GH295" s="577"/>
      <c r="GI295" s="163">
        <f t="shared" si="643"/>
        <v>27120.369470000001</v>
      </c>
      <c r="GJ295" s="577">
        <f t="shared" si="658"/>
        <v>0.76109065572199541</v>
      </c>
      <c r="GK295" s="163">
        <f>GK296+GK297</f>
        <v>27120.369470000001</v>
      </c>
      <c r="GL295" s="577">
        <f t="shared" si="659"/>
        <v>0.76109065572199541</v>
      </c>
      <c r="GM295" s="163"/>
      <c r="GN295" s="577"/>
      <c r="GO295" s="163"/>
      <c r="GP295" s="577"/>
      <c r="GQ295" s="164"/>
      <c r="GR295" s="164"/>
      <c r="GS295" s="164"/>
      <c r="GT295" s="164"/>
      <c r="GU295" s="181">
        <f t="shared" si="660"/>
        <v>132922.50200000001</v>
      </c>
      <c r="GV295" s="164">
        <f>GV296+GV297</f>
        <v>132922.50200000001</v>
      </c>
      <c r="GW295" s="164"/>
      <c r="GX295" s="164">
        <f>GX296+GX297</f>
        <v>0</v>
      </c>
      <c r="GY295" s="164"/>
      <c r="GZ295" s="164"/>
      <c r="HA295" s="164"/>
      <c r="HB295" s="164"/>
      <c r="HC295" s="164"/>
      <c r="HD295" s="164"/>
      <c r="HE295" s="164"/>
      <c r="HF295" s="164"/>
      <c r="HG295" s="181">
        <f t="shared" si="661"/>
        <v>0</v>
      </c>
      <c r="HH295" s="164">
        <f>HH296+HH297</f>
        <v>0</v>
      </c>
      <c r="HI295" s="164"/>
      <c r="HJ295" s="164">
        <f>HJ296+HJ297</f>
        <v>0</v>
      </c>
      <c r="HK295" s="181">
        <f t="shared" si="662"/>
        <v>0</v>
      </c>
      <c r="HL295" s="164">
        <f>HL296+HL297</f>
        <v>0</v>
      </c>
      <c r="HM295" s="164"/>
      <c r="HN295" s="164">
        <f>HN296+HN297</f>
        <v>0</v>
      </c>
      <c r="HO295" s="181">
        <f t="shared" si="678"/>
        <v>132922.50200000001</v>
      </c>
      <c r="HP295" s="164">
        <f>HP296+HP297</f>
        <v>132922.50200000001</v>
      </c>
      <c r="HQ295" s="164"/>
      <c r="HR295" s="164"/>
      <c r="HS295" s="181">
        <f t="shared" si="663"/>
        <v>0</v>
      </c>
      <c r="HT295" s="164">
        <f>HT296+HT297</f>
        <v>0</v>
      </c>
      <c r="HU295" s="164"/>
      <c r="HV295" s="164">
        <f>HV296+HV297</f>
        <v>0</v>
      </c>
      <c r="HW295" s="181">
        <f t="shared" si="664"/>
        <v>0</v>
      </c>
      <c r="HX295" s="164">
        <f>HX296+HX297</f>
        <v>0</v>
      </c>
      <c r="HY295" s="164"/>
      <c r="HZ295" s="164">
        <f>HZ296+HZ297</f>
        <v>0</v>
      </c>
      <c r="IA295" s="181">
        <f t="shared" si="665"/>
        <v>0</v>
      </c>
      <c r="IB295" s="164">
        <f>IB296+IB297</f>
        <v>0</v>
      </c>
      <c r="IC295" s="164"/>
      <c r="ID295" s="164">
        <f>ID296+ID297</f>
        <v>0</v>
      </c>
      <c r="IE295" s="326"/>
      <c r="IF295" s="170"/>
      <c r="IG295" s="170"/>
      <c r="IH295" s="170"/>
    </row>
    <row r="296" spans="2:249" s="171" customFormat="1" ht="27.6" hidden="1" customHeight="1" x14ac:dyDescent="0.25">
      <c r="B296" s="324"/>
      <c r="C296" s="164" t="s">
        <v>330</v>
      </c>
      <c r="D296" s="325"/>
      <c r="E296" s="164">
        <f t="shared" si="644"/>
        <v>63707.277139999998</v>
      </c>
      <c r="F296" s="164">
        <v>63707.277139999998</v>
      </c>
      <c r="G296" s="164"/>
      <c r="H296" s="164">
        <f t="shared" si="645"/>
        <v>-5.2539999996952247E-2</v>
      </c>
      <c r="I296" s="164">
        <f>L296-F296</f>
        <v>-5.2539999996952247E-2</v>
      </c>
      <c r="J296" s="164">
        <f>M296-G296</f>
        <v>0</v>
      </c>
      <c r="K296" s="164">
        <f t="shared" si="646"/>
        <v>63707.224600000001</v>
      </c>
      <c r="L296" s="164">
        <v>63707.224600000001</v>
      </c>
      <c r="M296" s="164"/>
      <c r="N296" s="164">
        <f t="shared" si="647"/>
        <v>0</v>
      </c>
      <c r="O296" s="164">
        <f>R296-L296</f>
        <v>0</v>
      </c>
      <c r="P296" s="164">
        <f>S296-M296</f>
        <v>0</v>
      </c>
      <c r="Q296" s="164">
        <f t="shared" si="648"/>
        <v>63707.224600000001</v>
      </c>
      <c r="R296" s="164">
        <v>63707.224600000001</v>
      </c>
      <c r="S296" s="164"/>
      <c r="T296" s="164">
        <f t="shared" si="649"/>
        <v>0</v>
      </c>
      <c r="U296" s="164"/>
      <c r="V296" s="164"/>
      <c r="W296" s="164">
        <f t="shared" si="650"/>
        <v>20607.046020000002</v>
      </c>
      <c r="X296" s="164">
        <f>AA296-U296</f>
        <v>20607.046020000002</v>
      </c>
      <c r="Y296" s="164">
        <f>AB296-V296</f>
        <v>0</v>
      </c>
      <c r="Z296" s="164">
        <f>AA296+AB296</f>
        <v>20607.046020000002</v>
      </c>
      <c r="AA296" s="164">
        <v>20607.046020000002</v>
      </c>
      <c r="AB296" s="164"/>
      <c r="AC296" s="164">
        <f>AD296+AE296</f>
        <v>0</v>
      </c>
      <c r="AD296" s="164"/>
      <c r="AE296" s="164"/>
      <c r="AF296" s="164">
        <f>AG296+AH296</f>
        <v>20607.046020000002</v>
      </c>
      <c r="AG296" s="164">
        <f>AA296+AD296</f>
        <v>20607.046020000002</v>
      </c>
      <c r="AH296" s="164"/>
      <c r="AI296" s="164"/>
      <c r="AJ296" s="164"/>
      <c r="AK296" s="164"/>
      <c r="AL296" s="164"/>
      <c r="AM296" s="164"/>
      <c r="AN296" s="164"/>
      <c r="AO296" s="164">
        <v>1</v>
      </c>
      <c r="AP296" s="164">
        <v>0</v>
      </c>
      <c r="AQ296" s="164">
        <v>20607.046020000002</v>
      </c>
      <c r="AR296" s="164">
        <f>AF296-AP296-AQ296</f>
        <v>0</v>
      </c>
      <c r="AS296" s="164">
        <f>AT296+AU296</f>
        <v>0</v>
      </c>
      <c r="AT296" s="164"/>
      <c r="AU296" s="164"/>
      <c r="AV296" s="164">
        <f>AW296+AX296</f>
        <v>0</v>
      </c>
      <c r="AW296" s="164">
        <f>AZ296-AT296</f>
        <v>0</v>
      </c>
      <c r="AX296" s="164">
        <f>BA296-AU296</f>
        <v>0</v>
      </c>
      <c r="AY296" s="164">
        <f>AZ296+BA296</f>
        <v>0</v>
      </c>
      <c r="AZ296" s="164">
        <v>0</v>
      </c>
      <c r="BA296" s="164"/>
      <c r="BB296" s="164">
        <f>BC296+BD296</f>
        <v>0</v>
      </c>
      <c r="BC296" s="164"/>
      <c r="BD296" s="164"/>
      <c r="BE296" s="164">
        <f>BF296+BG296</f>
        <v>0</v>
      </c>
      <c r="BF296" s="164">
        <f>BW296-BC296</f>
        <v>0</v>
      </c>
      <c r="BG296" s="164">
        <f>BX296-BD296</f>
        <v>0</v>
      </c>
      <c r="BH296" s="164">
        <f>BI296+BJ296</f>
        <v>0</v>
      </c>
      <c r="BI296" s="164">
        <v>0</v>
      </c>
      <c r="BJ296" s="164"/>
      <c r="BK296" s="164">
        <v>1</v>
      </c>
      <c r="BL296" s="164">
        <f t="shared" ref="BL296:BL306" si="682">AY296</f>
        <v>0</v>
      </c>
      <c r="BM296" s="164"/>
      <c r="BN296" s="164"/>
      <c r="BO296" s="164"/>
      <c r="BP296" s="164">
        <f>BQ296+BR296</f>
        <v>0</v>
      </c>
      <c r="BQ296" s="164"/>
      <c r="BR296" s="164"/>
      <c r="BS296" s="164">
        <f>BT296+BU296</f>
        <v>0</v>
      </c>
      <c r="BT296" s="164">
        <f>AZ296-BQ296</f>
        <v>0</v>
      </c>
      <c r="BU296" s="164"/>
      <c r="BV296" s="164">
        <f>BW296+BX296</f>
        <v>0</v>
      </c>
      <c r="BW296" s="164"/>
      <c r="BX296" s="164"/>
      <c r="BY296" s="164">
        <f>BZ296+CA296</f>
        <v>0</v>
      </c>
      <c r="BZ296" s="164">
        <f>CC296-BW296</f>
        <v>0</v>
      </c>
      <c r="CA296" s="164">
        <f>CD296-BX296</f>
        <v>0</v>
      </c>
      <c r="CB296" s="164">
        <f>CC296+CD296</f>
        <v>0</v>
      </c>
      <c r="CC296" s="164"/>
      <c r="CD296" s="164"/>
      <c r="CE296" s="164">
        <v>1</v>
      </c>
      <c r="CF296" s="164">
        <f t="shared" si="668"/>
        <v>0</v>
      </c>
      <c r="CG296" s="164"/>
      <c r="CH296" s="164">
        <f>CI296+CJ296</f>
        <v>0</v>
      </c>
      <c r="CI296" s="164"/>
      <c r="CJ296" s="164"/>
      <c r="CK296" s="164">
        <f>CL296+CM296</f>
        <v>0</v>
      </c>
      <c r="CL296" s="164">
        <f>CR296-CI296</f>
        <v>0</v>
      </c>
      <c r="CM296" s="164">
        <f>CS296-CJ296</f>
        <v>0</v>
      </c>
      <c r="CN296" s="164">
        <f>CO296+CP296</f>
        <v>0</v>
      </c>
      <c r="CO296" s="164">
        <f>II296-CL296</f>
        <v>0</v>
      </c>
      <c r="CP296" s="164">
        <f>IJ296-CM296</f>
        <v>0</v>
      </c>
      <c r="CQ296" s="164">
        <f>CR296+CS296</f>
        <v>0</v>
      </c>
      <c r="CR296" s="164"/>
      <c r="CS296" s="164"/>
      <c r="CT296" s="164">
        <f>CU296+CV296</f>
        <v>0</v>
      </c>
      <c r="CU296" s="164"/>
      <c r="CV296" s="164"/>
      <c r="CW296" s="164">
        <f>CX296+CY296</f>
        <v>17196.21386</v>
      </c>
      <c r="CX296" s="164">
        <v>17196.21386</v>
      </c>
      <c r="CY296" s="164"/>
      <c r="CZ296" s="164">
        <f>DA296+DB296</f>
        <v>0</v>
      </c>
      <c r="DA296" s="164"/>
      <c r="DB296" s="164"/>
      <c r="DC296" s="164"/>
      <c r="DD296" s="164"/>
      <c r="DE296" s="164"/>
      <c r="DF296" s="164">
        <f>DG296+DH296</f>
        <v>0</v>
      </c>
      <c r="DG296" s="164">
        <f>DJ296-CX296</f>
        <v>0</v>
      </c>
      <c r="DH296" s="164"/>
      <c r="DI296" s="181">
        <f t="shared" si="637"/>
        <v>17196.21386</v>
      </c>
      <c r="DJ296" s="164">
        <f>CX296</f>
        <v>17196.21386</v>
      </c>
      <c r="DK296" s="164"/>
      <c r="DL296" s="164">
        <f>DM296+DN296</f>
        <v>9354.2445299999999</v>
      </c>
      <c r="DM296" s="164">
        <f>8978.81418+375.43035</f>
        <v>9354.2445299999999</v>
      </c>
      <c r="DN296" s="164"/>
      <c r="DO296" s="164">
        <f>DP296+DQ296</f>
        <v>7841.9693299999999</v>
      </c>
      <c r="DP296" s="164">
        <v>7841.9693299999999</v>
      </c>
      <c r="DQ296" s="164"/>
      <c r="DR296" s="164">
        <f>DS296+DT296</f>
        <v>0</v>
      </c>
      <c r="DS296" s="164">
        <f>DJ296-DM296-DP296</f>
        <v>0</v>
      </c>
      <c r="DT296" s="164"/>
      <c r="DU296" s="164">
        <f>DV296+DW296</f>
        <v>40500</v>
      </c>
      <c r="DV296" s="164">
        <v>40500</v>
      </c>
      <c r="DW296" s="164"/>
      <c r="DX296" s="164">
        <f>DY296+DZ296</f>
        <v>0</v>
      </c>
      <c r="DY296" s="164"/>
      <c r="DZ296" s="164"/>
      <c r="EA296" s="164"/>
      <c r="EB296" s="164"/>
      <c r="EC296" s="164"/>
      <c r="ED296" s="181">
        <f>EE296+EE319</f>
        <v>-19630.339070000002</v>
      </c>
      <c r="EE296" s="164">
        <f>EH296-DV296</f>
        <v>-19630.339070000002</v>
      </c>
      <c r="EF296" s="164"/>
      <c r="EG296" s="181">
        <f t="shared" si="672"/>
        <v>20869.660929999998</v>
      </c>
      <c r="EH296" s="164">
        <f>20869.66093</f>
        <v>20869.660929999998</v>
      </c>
      <c r="EI296" s="164"/>
      <c r="EJ296" s="164"/>
      <c r="EK296" s="164">
        <f>EL296+EN296</f>
        <v>-20869.660929999998</v>
      </c>
      <c r="EL296" s="164">
        <f>ET296-EH296</f>
        <v>-20869.660929999998</v>
      </c>
      <c r="EM296" s="164"/>
      <c r="EN296" s="164"/>
      <c r="EO296" s="164">
        <f>EP296+ER296</f>
        <v>0</v>
      </c>
      <c r="EP296" s="164"/>
      <c r="EQ296" s="164"/>
      <c r="ER296" s="164"/>
      <c r="ES296" s="164">
        <f t="shared" si="674"/>
        <v>0</v>
      </c>
      <c r="ET296" s="164"/>
      <c r="EU296" s="164"/>
      <c r="EV296" s="164"/>
      <c r="EW296" s="164">
        <f>EX296+EY296</f>
        <v>40500</v>
      </c>
      <c r="EX296" s="164">
        <v>40500</v>
      </c>
      <c r="EY296" s="164">
        <v>0</v>
      </c>
      <c r="EZ296" s="181">
        <f t="shared" si="638"/>
        <v>-28128.229139999999</v>
      </c>
      <c r="FA296" s="164">
        <f>FD296-EX296</f>
        <v>-28128.229139999999</v>
      </c>
      <c r="FB296" s="164"/>
      <c r="FC296" s="180">
        <f t="shared" si="656"/>
        <v>12371.770860000001</v>
      </c>
      <c r="FD296" s="163">
        <v>12371.770860000001</v>
      </c>
      <c r="FE296" s="163"/>
      <c r="FF296" s="163"/>
      <c r="FG296" s="163">
        <f>FH296+FJ296</f>
        <v>10319.858649999998</v>
      </c>
      <c r="FH296" s="163">
        <f>FP296-FD296</f>
        <v>10319.858649999998</v>
      </c>
      <c r="FI296" s="163"/>
      <c r="FJ296" s="163"/>
      <c r="FK296" s="163">
        <f>FL296+FN296</f>
        <v>0</v>
      </c>
      <c r="FL296" s="163"/>
      <c r="FM296" s="163"/>
      <c r="FN296" s="163"/>
      <c r="FO296" s="180">
        <f t="shared" si="676"/>
        <v>22691.629509999999</v>
      </c>
      <c r="FP296" s="163">
        <f>FD296+10319.85865</f>
        <v>22691.629509999999</v>
      </c>
      <c r="FQ296" s="163"/>
      <c r="FR296" s="163"/>
      <c r="FS296" s="163">
        <f t="shared" si="639"/>
        <v>0</v>
      </c>
      <c r="FT296" s="577">
        <f t="shared" si="640"/>
        <v>0</v>
      </c>
      <c r="FU296" s="163">
        <v>0</v>
      </c>
      <c r="FV296" s="577">
        <f t="shared" si="641"/>
        <v>0</v>
      </c>
      <c r="FW296" s="164"/>
      <c r="FX296" s="577"/>
      <c r="FY296" s="164"/>
      <c r="FZ296" s="672"/>
      <c r="GA296" s="163">
        <f t="shared" si="642"/>
        <v>0</v>
      </c>
      <c r="GB296" s="577">
        <f t="shared" si="677"/>
        <v>0</v>
      </c>
      <c r="GC296" s="163">
        <v>0</v>
      </c>
      <c r="GD296" s="577">
        <f t="shared" si="657"/>
        <v>0</v>
      </c>
      <c r="GE296" s="164"/>
      <c r="GF296" s="577"/>
      <c r="GG296" s="163"/>
      <c r="GH296" s="577"/>
      <c r="GI296" s="163">
        <f t="shared" si="643"/>
        <v>11717.911120000001</v>
      </c>
      <c r="GJ296" s="577">
        <f t="shared" si="658"/>
        <v>0.94714905833618068</v>
      </c>
      <c r="GK296" s="163">
        <v>11717.911120000001</v>
      </c>
      <c r="GL296" s="577">
        <f t="shared" si="659"/>
        <v>0.94714905833618068</v>
      </c>
      <c r="GM296" s="163"/>
      <c r="GN296" s="577"/>
      <c r="GO296" s="163"/>
      <c r="GP296" s="577"/>
      <c r="GQ296" s="164"/>
      <c r="GR296" s="164"/>
      <c r="GS296" s="164"/>
      <c r="GT296" s="164"/>
      <c r="GU296" s="181">
        <f t="shared" si="660"/>
        <v>132922.50200000001</v>
      </c>
      <c r="GV296" s="164">
        <v>132922.50200000001</v>
      </c>
      <c r="GW296" s="164"/>
      <c r="GX296" s="164"/>
      <c r="GY296" s="164"/>
      <c r="GZ296" s="164"/>
      <c r="HA296" s="164"/>
      <c r="HB296" s="164"/>
      <c r="HC296" s="164"/>
      <c r="HD296" s="164"/>
      <c r="HE296" s="164"/>
      <c r="HF296" s="164"/>
      <c r="HG296" s="181">
        <f t="shared" si="661"/>
        <v>0</v>
      </c>
      <c r="HH296" s="164">
        <v>0</v>
      </c>
      <c r="HI296" s="164"/>
      <c r="HJ296" s="164"/>
      <c r="HK296" s="181">
        <f t="shared" si="662"/>
        <v>0</v>
      </c>
      <c r="HL296" s="164">
        <v>0</v>
      </c>
      <c r="HM296" s="164"/>
      <c r="HN296" s="164"/>
      <c r="HO296" s="181">
        <f t="shared" si="678"/>
        <v>132922.50200000001</v>
      </c>
      <c r="HP296" s="164">
        <f>GV296</f>
        <v>132922.50200000001</v>
      </c>
      <c r="HQ296" s="164"/>
      <c r="HR296" s="164"/>
      <c r="HS296" s="181">
        <f t="shared" si="663"/>
        <v>0</v>
      </c>
      <c r="HT296" s="164">
        <v>0</v>
      </c>
      <c r="HU296" s="164"/>
      <c r="HV296" s="164"/>
      <c r="HW296" s="181">
        <f t="shared" si="664"/>
        <v>0</v>
      </c>
      <c r="HX296" s="164">
        <v>0</v>
      </c>
      <c r="HY296" s="164"/>
      <c r="HZ296" s="164"/>
      <c r="IA296" s="181">
        <f t="shared" si="665"/>
        <v>0</v>
      </c>
      <c r="IB296" s="164">
        <v>0</v>
      </c>
      <c r="IC296" s="164"/>
      <c r="ID296" s="164"/>
      <c r="IE296" s="326"/>
      <c r="IF296" s="170"/>
      <c r="IG296" s="170"/>
      <c r="IH296" s="163">
        <f>47453.40961-GC294</f>
        <v>-45770.12079999999</v>
      </c>
    </row>
    <row r="297" spans="2:249" s="171" customFormat="1" ht="23.25" hidden="1" customHeight="1" x14ac:dyDescent="0.25">
      <c r="B297" s="324"/>
      <c r="C297" s="164" t="s">
        <v>172</v>
      </c>
      <c r="D297" s="325"/>
      <c r="E297" s="164">
        <f t="shared" si="644"/>
        <v>8203.9879199999996</v>
      </c>
      <c r="F297" s="164">
        <v>8203.9879199999996</v>
      </c>
      <c r="G297" s="164"/>
      <c r="H297" s="164">
        <f t="shared" si="645"/>
        <v>-200</v>
      </c>
      <c r="I297" s="164">
        <f>L297-F297</f>
        <v>-200</v>
      </c>
      <c r="J297" s="164">
        <f>M297-G297</f>
        <v>0</v>
      </c>
      <c r="K297" s="164">
        <f t="shared" si="646"/>
        <v>8003.9879199999996</v>
      </c>
      <c r="L297" s="164">
        <v>8003.9879199999996</v>
      </c>
      <c r="M297" s="164"/>
      <c r="N297" s="164">
        <f t="shared" si="647"/>
        <v>0</v>
      </c>
      <c r="O297" s="164">
        <f>R297-L297</f>
        <v>0</v>
      </c>
      <c r="P297" s="164">
        <f>S297-M297</f>
        <v>0</v>
      </c>
      <c r="Q297" s="164">
        <f t="shared" si="648"/>
        <v>8003.9879199999996</v>
      </c>
      <c r="R297" s="164">
        <v>8003.9879199999996</v>
      </c>
      <c r="S297" s="164"/>
      <c r="T297" s="164">
        <f t="shared" si="649"/>
        <v>0</v>
      </c>
      <c r="U297" s="164"/>
      <c r="V297" s="164"/>
      <c r="W297" s="164">
        <f t="shared" si="650"/>
        <v>603.42931999999996</v>
      </c>
      <c r="X297" s="164">
        <f>AA297-U297</f>
        <v>603.42931999999996</v>
      </c>
      <c r="Y297" s="164">
        <f>AB297-V297</f>
        <v>0</v>
      </c>
      <c r="Z297" s="164">
        <f>AA297+AB297</f>
        <v>603.42931999999996</v>
      </c>
      <c r="AA297" s="164">
        <v>603.42931999999996</v>
      </c>
      <c r="AB297" s="164"/>
      <c r="AC297" s="164">
        <f>AD297+AE297</f>
        <v>0</v>
      </c>
      <c r="AD297" s="164"/>
      <c r="AE297" s="164"/>
      <c r="AF297" s="164">
        <f>AG297+AH297</f>
        <v>603.42931999999996</v>
      </c>
      <c r="AG297" s="164">
        <f>AA297+AD297</f>
        <v>603.42931999999996</v>
      </c>
      <c r="AH297" s="164"/>
      <c r="AI297" s="164"/>
      <c r="AJ297" s="164"/>
      <c r="AK297" s="164"/>
      <c r="AL297" s="164"/>
      <c r="AM297" s="164"/>
      <c r="AN297" s="164"/>
      <c r="AO297" s="164">
        <v>1</v>
      </c>
      <c r="AP297" s="164">
        <v>278.51587999999998</v>
      </c>
      <c r="AQ297" s="164">
        <v>324.91343999999998</v>
      </c>
      <c r="AR297" s="164">
        <f>AF297-AP297-AQ297</f>
        <v>0</v>
      </c>
      <c r="AS297" s="164">
        <f>AT297+AU297</f>
        <v>0</v>
      </c>
      <c r="AT297" s="164"/>
      <c r="AU297" s="164"/>
      <c r="AV297" s="164">
        <f>AW297+AX297</f>
        <v>0</v>
      </c>
      <c r="AW297" s="164">
        <v>0</v>
      </c>
      <c r="AX297" s="164">
        <f>BA297-AU297</f>
        <v>0</v>
      </c>
      <c r="AY297" s="164">
        <f>AZ297+BA297</f>
        <v>0</v>
      </c>
      <c r="AZ297" s="164">
        <v>0</v>
      </c>
      <c r="BA297" s="164"/>
      <c r="BB297" s="164">
        <f>BC297+BD297</f>
        <v>0</v>
      </c>
      <c r="BC297" s="164"/>
      <c r="BD297" s="164"/>
      <c r="BE297" s="164">
        <f>BF297+BG297</f>
        <v>0</v>
      </c>
      <c r="BF297" s="164">
        <f>BW297-BC297</f>
        <v>0</v>
      </c>
      <c r="BG297" s="164">
        <f>BX297-BD297</f>
        <v>0</v>
      </c>
      <c r="BH297" s="164">
        <f>BI297+BJ297</f>
        <v>0</v>
      </c>
      <c r="BI297" s="164">
        <v>0</v>
      </c>
      <c r="BJ297" s="164"/>
      <c r="BK297" s="164">
        <v>1</v>
      </c>
      <c r="BL297" s="164">
        <f t="shared" si="682"/>
        <v>0</v>
      </c>
      <c r="BM297" s="164"/>
      <c r="BN297" s="164"/>
      <c r="BO297" s="164"/>
      <c r="BP297" s="164">
        <f>BQ297+BR297</f>
        <v>0</v>
      </c>
      <c r="BQ297" s="164"/>
      <c r="BR297" s="164"/>
      <c r="BS297" s="164">
        <f>BT297+BU297</f>
        <v>0</v>
      </c>
      <c r="BT297" s="164">
        <f>AZ297-BQ297</f>
        <v>0</v>
      </c>
      <c r="BU297" s="164"/>
      <c r="BV297" s="164">
        <f>BW297+BX297</f>
        <v>0</v>
      </c>
      <c r="BW297" s="164"/>
      <c r="BX297" s="164"/>
      <c r="BY297" s="164">
        <f>BZ297+CA297</f>
        <v>0</v>
      </c>
      <c r="BZ297" s="164">
        <f>CC297-BW297</f>
        <v>0</v>
      </c>
      <c r="CA297" s="164">
        <f>CD297-BX297</f>
        <v>0</v>
      </c>
      <c r="CB297" s="164">
        <f>CC297+CD297</f>
        <v>0</v>
      </c>
      <c r="CC297" s="164"/>
      <c r="CD297" s="164"/>
      <c r="CE297" s="164">
        <v>1</v>
      </c>
      <c r="CF297" s="164">
        <f t="shared" si="668"/>
        <v>0</v>
      </c>
      <c r="CG297" s="164"/>
      <c r="CH297" s="164">
        <f>CI297+CJ297</f>
        <v>0</v>
      </c>
      <c r="CI297" s="164"/>
      <c r="CJ297" s="164"/>
      <c r="CK297" s="164">
        <f>CL297+CM297</f>
        <v>0</v>
      </c>
      <c r="CL297" s="164">
        <v>0</v>
      </c>
      <c r="CM297" s="164">
        <f>CS297-CJ297</f>
        <v>0</v>
      </c>
      <c r="CN297" s="164">
        <f>CO297+CP297</f>
        <v>0</v>
      </c>
      <c r="CO297" s="164">
        <v>0</v>
      </c>
      <c r="CP297" s="164">
        <f>IJ297-CM297</f>
        <v>0</v>
      </c>
      <c r="CQ297" s="164">
        <f>CR297+CS297</f>
        <v>0</v>
      </c>
      <c r="CR297" s="164"/>
      <c r="CS297" s="164"/>
      <c r="CT297" s="164">
        <f>CU297+CV297</f>
        <v>0</v>
      </c>
      <c r="CU297" s="164"/>
      <c r="CV297" s="164"/>
      <c r="CW297" s="164">
        <f>CX297+CY297</f>
        <v>8856.5875400000004</v>
      </c>
      <c r="CX297" s="164">
        <v>8856.5875400000004</v>
      </c>
      <c r="CY297" s="164"/>
      <c r="CZ297" s="164">
        <f>DA297+DB297</f>
        <v>0</v>
      </c>
      <c r="DA297" s="164"/>
      <c r="DB297" s="164"/>
      <c r="DC297" s="164"/>
      <c r="DD297" s="164"/>
      <c r="DE297" s="164"/>
      <c r="DF297" s="164">
        <f>DG297+DH297</f>
        <v>0</v>
      </c>
      <c r="DG297" s="164">
        <f>DJ297-CX297</f>
        <v>0</v>
      </c>
      <c r="DH297" s="164"/>
      <c r="DI297" s="181">
        <f t="shared" si="637"/>
        <v>8856.5875400000004</v>
      </c>
      <c r="DJ297" s="164">
        <f>4458.27219+4398.31535</f>
        <v>8856.5875400000004</v>
      </c>
      <c r="DK297" s="164"/>
      <c r="DL297" s="164">
        <f>DM297+DN297</f>
        <v>3921.58754</v>
      </c>
      <c r="DM297" s="164">
        <f>3758.27219+163.31535</f>
        <v>3921.58754</v>
      </c>
      <c r="DN297" s="164"/>
      <c r="DO297" s="164">
        <f>DP297+DQ297</f>
        <v>281.76497999999998</v>
      </c>
      <c r="DP297" s="164">
        <v>281.76497999999998</v>
      </c>
      <c r="DQ297" s="164"/>
      <c r="DR297" s="164">
        <f>DS297+DT297</f>
        <v>4653.2350200000001</v>
      </c>
      <c r="DS297" s="164">
        <f>DJ297-DM297-DP297</f>
        <v>4653.2350200000001</v>
      </c>
      <c r="DT297" s="164"/>
      <c r="DU297" s="164">
        <f>DV297+DW297</f>
        <v>1320.7541200000001</v>
      </c>
      <c r="DV297" s="164">
        <v>1320.7541200000001</v>
      </c>
      <c r="DW297" s="164"/>
      <c r="DX297" s="164">
        <f>DY297+DZ297</f>
        <v>0</v>
      </c>
      <c r="DY297" s="164"/>
      <c r="DZ297" s="164"/>
      <c r="EA297" s="164"/>
      <c r="EB297" s="164"/>
      <c r="EC297" s="164"/>
      <c r="ED297" s="181">
        <f>EE297+EE322</f>
        <v>14488.89712</v>
      </c>
      <c r="EE297" s="164">
        <f>EH297-DV297</f>
        <v>14488.89712</v>
      </c>
      <c r="EF297" s="164"/>
      <c r="EG297" s="181">
        <f t="shared" si="672"/>
        <v>15809.651239999999</v>
      </c>
      <c r="EH297" s="164">
        <v>15809.651239999999</v>
      </c>
      <c r="EI297" s="164"/>
      <c r="EJ297" s="164"/>
      <c r="EK297" s="164">
        <f>EL297+EN297</f>
        <v>-15809.651239999999</v>
      </c>
      <c r="EL297" s="164">
        <f>ET297-EH297</f>
        <v>-15809.651239999999</v>
      </c>
      <c r="EM297" s="164"/>
      <c r="EN297" s="164"/>
      <c r="EO297" s="164">
        <f>EP297+ER297</f>
        <v>0</v>
      </c>
      <c r="EP297" s="164"/>
      <c r="EQ297" s="164"/>
      <c r="ER297" s="164"/>
      <c r="ES297" s="164">
        <f t="shared" si="674"/>
        <v>0</v>
      </c>
      <c r="ET297" s="164"/>
      <c r="EU297" s="164"/>
      <c r="EV297" s="164"/>
      <c r="EW297" s="164">
        <f>EX297+EY297</f>
        <v>376.51217000000003</v>
      </c>
      <c r="EX297" s="164">
        <v>376.51217000000003</v>
      </c>
      <c r="EY297" s="164">
        <v>0</v>
      </c>
      <c r="EZ297" s="181">
        <f t="shared" si="638"/>
        <v>22885.276869999998</v>
      </c>
      <c r="FA297" s="164">
        <f>FD297-EX297</f>
        <v>22885.276869999998</v>
      </c>
      <c r="FB297" s="164"/>
      <c r="FC297" s="180">
        <f t="shared" si="656"/>
        <v>23261.78904</v>
      </c>
      <c r="FD297" s="163">
        <v>23261.78904</v>
      </c>
      <c r="FE297" s="163"/>
      <c r="FF297" s="163"/>
      <c r="FG297" s="163">
        <f>FH297+FJ297</f>
        <v>2705.3246399999989</v>
      </c>
      <c r="FH297" s="163">
        <f>FP297-FD297</f>
        <v>2705.3246399999989</v>
      </c>
      <c r="FI297" s="163"/>
      <c r="FJ297" s="163"/>
      <c r="FK297" s="163">
        <f>FL297+FN297</f>
        <v>0</v>
      </c>
      <c r="FL297" s="163"/>
      <c r="FM297" s="163"/>
      <c r="FN297" s="163"/>
      <c r="FO297" s="180">
        <f t="shared" si="676"/>
        <v>25967.113679999999</v>
      </c>
      <c r="FP297" s="163">
        <f>25509.65064+457.46304</f>
        <v>25967.113679999999</v>
      </c>
      <c r="FQ297" s="163"/>
      <c r="FR297" s="163"/>
      <c r="FS297" s="163">
        <f t="shared" si="639"/>
        <v>2725.1646799999999</v>
      </c>
      <c r="FT297" s="577">
        <f t="shared" si="640"/>
        <v>0.11715198153133968</v>
      </c>
      <c r="FU297" s="163">
        <v>2725.1646799999999</v>
      </c>
      <c r="FV297" s="577">
        <f t="shared" si="641"/>
        <v>0.11715198153133968</v>
      </c>
      <c r="FW297" s="164"/>
      <c r="FX297" s="577"/>
      <c r="FY297" s="164"/>
      <c r="FZ297" s="672"/>
      <c r="GA297" s="163">
        <f t="shared" si="642"/>
        <v>2528.46018</v>
      </c>
      <c r="GB297" s="577">
        <f t="shared" si="677"/>
        <v>0.10869586065165347</v>
      </c>
      <c r="GC297" s="163">
        <v>2528.46018</v>
      </c>
      <c r="GD297" s="577">
        <f t="shared" si="657"/>
        <v>0.10869586065165347</v>
      </c>
      <c r="GE297" s="164"/>
      <c r="GF297" s="577"/>
      <c r="GG297" s="163"/>
      <c r="GH297" s="577"/>
      <c r="GI297" s="163">
        <f t="shared" si="643"/>
        <v>15402.458350000001</v>
      </c>
      <c r="GJ297" s="577">
        <f t="shared" si="658"/>
        <v>0.6621355874010626</v>
      </c>
      <c r="GK297" s="163">
        <v>15402.458350000001</v>
      </c>
      <c r="GL297" s="577">
        <f t="shared" si="659"/>
        <v>0.6621355874010626</v>
      </c>
      <c r="GM297" s="163"/>
      <c r="GN297" s="577"/>
      <c r="GO297" s="163"/>
      <c r="GP297" s="577"/>
      <c r="GQ297" s="164"/>
      <c r="GR297" s="164"/>
      <c r="GS297" s="164"/>
      <c r="GT297" s="164"/>
      <c r="GU297" s="181">
        <f t="shared" si="660"/>
        <v>0</v>
      </c>
      <c r="GV297" s="164">
        <v>0</v>
      </c>
      <c r="GW297" s="164"/>
      <c r="GX297" s="164"/>
      <c r="GY297" s="164"/>
      <c r="GZ297" s="164"/>
      <c r="HA297" s="164"/>
      <c r="HB297" s="164"/>
      <c r="HC297" s="164"/>
      <c r="HD297" s="164"/>
      <c r="HE297" s="164"/>
      <c r="HF297" s="164"/>
      <c r="HG297" s="181">
        <f t="shared" si="661"/>
        <v>0</v>
      </c>
      <c r="HH297" s="164">
        <v>0</v>
      </c>
      <c r="HI297" s="164"/>
      <c r="HJ297" s="164"/>
      <c r="HK297" s="181">
        <f t="shared" si="662"/>
        <v>0</v>
      </c>
      <c r="HL297" s="164">
        <v>0</v>
      </c>
      <c r="HM297" s="164"/>
      <c r="HN297" s="164"/>
      <c r="HO297" s="181">
        <f t="shared" si="678"/>
        <v>0</v>
      </c>
      <c r="HP297" s="164">
        <v>0</v>
      </c>
      <c r="HQ297" s="164"/>
      <c r="HR297" s="164"/>
      <c r="HS297" s="181">
        <f t="shared" si="663"/>
        <v>0</v>
      </c>
      <c r="HT297" s="164">
        <v>0</v>
      </c>
      <c r="HU297" s="164"/>
      <c r="HV297" s="164"/>
      <c r="HW297" s="181">
        <f t="shared" si="664"/>
        <v>0</v>
      </c>
      <c r="HX297" s="164">
        <v>0</v>
      </c>
      <c r="HY297" s="164"/>
      <c r="HZ297" s="164"/>
      <c r="IA297" s="181">
        <f t="shared" si="665"/>
        <v>0</v>
      </c>
      <c r="IB297" s="164">
        <v>0</v>
      </c>
      <c r="IC297" s="164"/>
      <c r="ID297" s="164"/>
      <c r="IE297" s="326"/>
      <c r="IF297" s="170"/>
      <c r="IG297" s="170"/>
      <c r="IH297" s="170"/>
    </row>
    <row r="298" spans="2:249" s="171" customFormat="1" ht="45" hidden="1" customHeight="1" x14ac:dyDescent="0.25">
      <c r="B298" s="324"/>
      <c r="C298" s="266" t="s">
        <v>510</v>
      </c>
      <c r="D298" s="325"/>
      <c r="E298" s="164">
        <f t="shared" si="644"/>
        <v>221127.00425999999</v>
      </c>
      <c r="F298" s="164">
        <f>F299+F300</f>
        <v>214697.00806999998</v>
      </c>
      <c r="G298" s="164">
        <f>G299+G300</f>
        <v>6429.9961899999998</v>
      </c>
      <c r="H298" s="164">
        <f t="shared" si="645"/>
        <v>-499.94745999999577</v>
      </c>
      <c r="I298" s="164">
        <f>I299+I300</f>
        <v>-499.94745999999577</v>
      </c>
      <c r="J298" s="164">
        <f>J299+J300</f>
        <v>0</v>
      </c>
      <c r="K298" s="164">
        <f t="shared" si="646"/>
        <v>220627.05679999999</v>
      </c>
      <c r="L298" s="164">
        <f>L299+L300</f>
        <v>214197.06060999999</v>
      </c>
      <c r="M298" s="164">
        <f>M299+M300</f>
        <v>6429.9961899999998</v>
      </c>
      <c r="N298" s="164">
        <f t="shared" si="647"/>
        <v>0</v>
      </c>
      <c r="O298" s="164">
        <f>O299+O300</f>
        <v>0</v>
      </c>
      <c r="P298" s="164">
        <f>P299+P300</f>
        <v>0</v>
      </c>
      <c r="Q298" s="164">
        <f t="shared" si="648"/>
        <v>220627.05679999999</v>
      </c>
      <c r="R298" s="164">
        <f>R299+R300</f>
        <v>214197.06060999999</v>
      </c>
      <c r="S298" s="164">
        <f>S299+S300</f>
        <v>6429.9961899999998</v>
      </c>
      <c r="T298" s="164">
        <f t="shared" si="649"/>
        <v>247700</v>
      </c>
      <c r="U298" s="164">
        <f>U299+U300</f>
        <v>247700</v>
      </c>
      <c r="V298" s="164">
        <f>V299+V300</f>
        <v>0</v>
      </c>
      <c r="W298" s="164">
        <f t="shared" si="650"/>
        <v>-15348.396459999993</v>
      </c>
      <c r="X298" s="164">
        <f>X299+X300</f>
        <v>-15348.396459999993</v>
      </c>
      <c r="Y298" s="164">
        <f>Y299+Y300</f>
        <v>0</v>
      </c>
      <c r="Z298" s="164">
        <f>AA298+AB298</f>
        <v>232351.60354000001</v>
      </c>
      <c r="AA298" s="164">
        <f t="shared" ref="AA298:AN298" si="683">AA299+AA300</f>
        <v>232351.60354000001</v>
      </c>
      <c r="AB298" s="164">
        <f t="shared" si="683"/>
        <v>0</v>
      </c>
      <c r="AC298" s="164">
        <f t="shared" si="683"/>
        <v>0</v>
      </c>
      <c r="AD298" s="164">
        <f t="shared" si="683"/>
        <v>0</v>
      </c>
      <c r="AE298" s="164">
        <f t="shared" si="683"/>
        <v>0</v>
      </c>
      <c r="AF298" s="164">
        <f t="shared" si="683"/>
        <v>232351.60354000001</v>
      </c>
      <c r="AG298" s="164">
        <f t="shared" si="683"/>
        <v>232351.60354000001</v>
      </c>
      <c r="AH298" s="164">
        <f t="shared" si="683"/>
        <v>0</v>
      </c>
      <c r="AI298" s="164">
        <f t="shared" si="683"/>
        <v>0</v>
      </c>
      <c r="AJ298" s="164">
        <f t="shared" si="683"/>
        <v>232351.60354000001</v>
      </c>
      <c r="AK298" s="164">
        <f t="shared" si="683"/>
        <v>0</v>
      </c>
      <c r="AL298" s="164">
        <f t="shared" si="683"/>
        <v>0</v>
      </c>
      <c r="AM298" s="164">
        <f t="shared" si="683"/>
        <v>0</v>
      </c>
      <c r="AN298" s="164">
        <f t="shared" si="683"/>
        <v>0</v>
      </c>
      <c r="AO298" s="164">
        <v>1</v>
      </c>
      <c r="AP298" s="164">
        <f>AP299+AP300</f>
        <v>232351.60354000001</v>
      </c>
      <c r="AQ298" s="164">
        <f>AQ299+AQ300</f>
        <v>0</v>
      </c>
      <c r="AR298" s="164">
        <f>AR299+AR300</f>
        <v>0</v>
      </c>
      <c r="AS298" s="164">
        <f>AT298+AU298</f>
        <v>260000</v>
      </c>
      <c r="AT298" s="164">
        <f>AT299+AT300</f>
        <v>260000</v>
      </c>
      <c r="AU298" s="164">
        <f>AU299+AU300</f>
        <v>0</v>
      </c>
      <c r="AV298" s="164">
        <f>AW298+AX298</f>
        <v>0</v>
      </c>
      <c r="AW298" s="164">
        <f>AW299+AW300</f>
        <v>0</v>
      </c>
      <c r="AX298" s="164">
        <f>AX299+AX300</f>
        <v>0</v>
      </c>
      <c r="AY298" s="164">
        <f>AZ298+BA298</f>
        <v>260000</v>
      </c>
      <c r="AZ298" s="164">
        <f>AZ299+AZ300</f>
        <v>260000</v>
      </c>
      <c r="BA298" s="164">
        <f>BA299+BA300</f>
        <v>0</v>
      </c>
      <c r="BB298" s="164">
        <f>BC298+BD298</f>
        <v>262000</v>
      </c>
      <c r="BC298" s="164">
        <f>BC299+BC300</f>
        <v>262000</v>
      </c>
      <c r="BD298" s="164">
        <f>BD299+BD300</f>
        <v>0</v>
      </c>
      <c r="BE298" s="164">
        <f>BF298+BG298</f>
        <v>0</v>
      </c>
      <c r="BF298" s="164">
        <f>BF299+BF300</f>
        <v>0</v>
      </c>
      <c r="BG298" s="164">
        <f>BG299+BG300</f>
        <v>0</v>
      </c>
      <c r="BH298" s="164">
        <f>BI298+BJ298</f>
        <v>234770.11370000002</v>
      </c>
      <c r="BI298" s="164">
        <f>BI299+BI300</f>
        <v>234770.11370000002</v>
      </c>
      <c r="BJ298" s="164">
        <f>BJ299+BJ300</f>
        <v>0</v>
      </c>
      <c r="BK298" s="164">
        <v>1</v>
      </c>
      <c r="BL298" s="164">
        <f t="shared" si="682"/>
        <v>260000</v>
      </c>
      <c r="BM298" s="164"/>
      <c r="BN298" s="164"/>
      <c r="BO298" s="164"/>
      <c r="BP298" s="164"/>
      <c r="BQ298" s="164"/>
      <c r="BR298" s="164"/>
      <c r="BS298" s="164">
        <f>BS299+BS300</f>
        <v>234770.11370000002</v>
      </c>
      <c r="BT298" s="164">
        <f>BT299+BT300</f>
        <v>234770.11370000002</v>
      </c>
      <c r="BU298" s="164">
        <f>BU299+BU300</f>
        <v>0</v>
      </c>
      <c r="BV298" s="164">
        <f>BW298+BX298</f>
        <v>262000</v>
      </c>
      <c r="BW298" s="164">
        <f>BW299+BW300</f>
        <v>262000</v>
      </c>
      <c r="BX298" s="164">
        <f>BX299+BX300</f>
        <v>0</v>
      </c>
      <c r="BY298" s="164">
        <f>BZ298+CA298</f>
        <v>-143095.93861000001</v>
      </c>
      <c r="BZ298" s="164">
        <f>BZ299+BZ300</f>
        <v>-143095.93861000001</v>
      </c>
      <c r="CA298" s="164">
        <f>CA299+CA300</f>
        <v>0</v>
      </c>
      <c r="CB298" s="164">
        <f>CC298+CD298</f>
        <v>91674.175090000004</v>
      </c>
      <c r="CC298" s="164">
        <f>CC299+CC300</f>
        <v>91674.175090000004</v>
      </c>
      <c r="CD298" s="164">
        <f>CD299+CD300</f>
        <v>0</v>
      </c>
      <c r="CE298" s="164">
        <v>1</v>
      </c>
      <c r="CF298" s="164">
        <f t="shared" si="668"/>
        <v>262000</v>
      </c>
      <c r="CG298" s="164"/>
      <c r="CH298" s="164">
        <f>CI298+CJ298</f>
        <v>260000</v>
      </c>
      <c r="CI298" s="164">
        <f>CI299+CI300</f>
        <v>260000</v>
      </c>
      <c r="CJ298" s="164">
        <f>CJ299+CJ300</f>
        <v>0</v>
      </c>
      <c r="CK298" s="164">
        <f>CL298+CM298</f>
        <v>2000</v>
      </c>
      <c r="CL298" s="164">
        <f>CL299+CL300</f>
        <v>2000</v>
      </c>
      <c r="CM298" s="164">
        <f>CM299+CM300</f>
        <v>0</v>
      </c>
      <c r="CN298" s="164">
        <f>CO298+CP298</f>
        <v>-2000</v>
      </c>
      <c r="CO298" s="164">
        <f>CO299+CO300</f>
        <v>-2000</v>
      </c>
      <c r="CP298" s="164">
        <f>CP299+CP300</f>
        <v>0</v>
      </c>
      <c r="CQ298" s="164">
        <f>CR298+CS298</f>
        <v>262000</v>
      </c>
      <c r="CR298" s="164">
        <f>CR299+CR300</f>
        <v>262000</v>
      </c>
      <c r="CS298" s="164">
        <f>CS299+CS300</f>
        <v>0</v>
      </c>
      <c r="CT298" s="164">
        <f>CU298+CV298</f>
        <v>0</v>
      </c>
      <c r="CU298" s="164">
        <f>CU299+CU300</f>
        <v>0</v>
      </c>
      <c r="CV298" s="164">
        <f>CV299+CV300</f>
        <v>0</v>
      </c>
      <c r="CW298" s="164">
        <f>CX298+CY298</f>
        <v>244690.16615</v>
      </c>
      <c r="CX298" s="164">
        <f>CX299+CX300</f>
        <v>244690.16615</v>
      </c>
      <c r="CY298" s="164">
        <f>CY299+CY300</f>
        <v>0</v>
      </c>
      <c r="CZ298" s="164">
        <f>DA298+DB298</f>
        <v>107000</v>
      </c>
      <c r="DA298" s="164">
        <f>DA299+DA300</f>
        <v>107000</v>
      </c>
      <c r="DB298" s="164">
        <f>DB299+DB300</f>
        <v>0</v>
      </c>
      <c r="DC298" s="164"/>
      <c r="DD298" s="164"/>
      <c r="DE298" s="164"/>
      <c r="DF298" s="164">
        <f>DG298+DH298</f>
        <v>2900</v>
      </c>
      <c r="DG298" s="164">
        <f>DG299+DG300</f>
        <v>2900</v>
      </c>
      <c r="DH298" s="164">
        <f>DH299+DH300</f>
        <v>0</v>
      </c>
      <c r="DI298" s="181">
        <f t="shared" si="637"/>
        <v>247590.16615</v>
      </c>
      <c r="DJ298" s="164">
        <f>DJ299+DJ300</f>
        <v>247590.16615</v>
      </c>
      <c r="DK298" s="164">
        <f>DK299+DK300</f>
        <v>0</v>
      </c>
      <c r="DL298" s="164">
        <f>DM298+DN298</f>
        <v>40415.469019999997</v>
      </c>
      <c r="DM298" s="164">
        <f>DM299+DM300</f>
        <v>40415.469019999997</v>
      </c>
      <c r="DN298" s="164">
        <f>DN299+DN300</f>
        <v>0</v>
      </c>
      <c r="DO298" s="164">
        <f>DP298+DQ298</f>
        <v>60901.126680000001</v>
      </c>
      <c r="DP298" s="164">
        <f>DP299+DP300</f>
        <v>60901.126680000001</v>
      </c>
      <c r="DQ298" s="164">
        <f>DQ299+DQ300</f>
        <v>0</v>
      </c>
      <c r="DR298" s="164">
        <f>DS298+DT298</f>
        <v>146273.57045000003</v>
      </c>
      <c r="DS298" s="164">
        <f>DS299+DS300</f>
        <v>146273.57045000003</v>
      </c>
      <c r="DT298" s="164">
        <f>DT299+DT300</f>
        <v>0</v>
      </c>
      <c r="DU298" s="164">
        <f>DV298+DW298</f>
        <v>166824.09753</v>
      </c>
      <c r="DV298" s="164">
        <f>DV299+DV300</f>
        <v>166824.09753</v>
      </c>
      <c r="DW298" s="164"/>
      <c r="DX298" s="164">
        <f>DY298+DZ298</f>
        <v>126950</v>
      </c>
      <c r="DY298" s="164">
        <f>DY299+DY300</f>
        <v>126950</v>
      </c>
      <c r="DZ298" s="164">
        <f>DZ299+DZ300</f>
        <v>0</v>
      </c>
      <c r="EA298" s="164"/>
      <c r="EB298" s="164"/>
      <c r="EC298" s="164"/>
      <c r="ED298" s="181">
        <f>EE298+EE323</f>
        <v>343492.24326999998</v>
      </c>
      <c r="EE298" s="164">
        <f>EE299+EE300</f>
        <v>332492.24326999998</v>
      </c>
      <c r="EF298" s="164"/>
      <c r="EG298" s="181">
        <f t="shared" si="672"/>
        <v>499316.34079999995</v>
      </c>
      <c r="EH298" s="164">
        <f>EH299+EH300</f>
        <v>499316.34079999995</v>
      </c>
      <c r="EI298" s="164"/>
      <c r="EJ298" s="164">
        <f>EJ299+EJ300</f>
        <v>0</v>
      </c>
      <c r="EK298" s="164">
        <f>EL298+EN298</f>
        <v>-499316.34079999995</v>
      </c>
      <c r="EL298" s="164">
        <f>EL299+EL300</f>
        <v>-499316.34079999995</v>
      </c>
      <c r="EM298" s="164"/>
      <c r="EN298" s="164">
        <f>EN299+EN300</f>
        <v>0</v>
      </c>
      <c r="EO298" s="164">
        <f>EP298+ER298</f>
        <v>0</v>
      </c>
      <c r="EP298" s="164">
        <f>EP299+EP300</f>
        <v>0</v>
      </c>
      <c r="EQ298" s="164"/>
      <c r="ER298" s="164">
        <f>ER299+ER300</f>
        <v>0</v>
      </c>
      <c r="ES298" s="164">
        <f t="shared" si="674"/>
        <v>0</v>
      </c>
      <c r="ET298" s="164">
        <f>ET299+ET300</f>
        <v>0</v>
      </c>
      <c r="EU298" s="164"/>
      <c r="EV298" s="164"/>
      <c r="EW298" s="164">
        <f>EX298+EY298</f>
        <v>174949.09318</v>
      </c>
      <c r="EX298" s="164">
        <f>EX299+EX300</f>
        <v>174949.09318</v>
      </c>
      <c r="EY298" s="164">
        <f>EY299+EY300</f>
        <v>0</v>
      </c>
      <c r="EZ298" s="181">
        <f t="shared" si="638"/>
        <v>444931.16634999996</v>
      </c>
      <c r="FA298" s="164">
        <f>FA299+FA300</f>
        <v>444931.16634999996</v>
      </c>
      <c r="FB298" s="164"/>
      <c r="FC298" s="180">
        <f t="shared" si="656"/>
        <v>619880.25952999992</v>
      </c>
      <c r="FD298" s="163">
        <f>FD299+FD300</f>
        <v>619880.25952999992</v>
      </c>
      <c r="FE298" s="163"/>
      <c r="FF298" s="163"/>
      <c r="FG298" s="163">
        <f>FH298+FJ298</f>
        <v>164252.11195999998</v>
      </c>
      <c r="FH298" s="163">
        <f>FH299+FH300</f>
        <v>164252.11195999998</v>
      </c>
      <c r="FI298" s="163"/>
      <c r="FJ298" s="163">
        <f>FJ299+FJ300</f>
        <v>0</v>
      </c>
      <c r="FK298" s="163">
        <f>FL298+FN298</f>
        <v>0</v>
      </c>
      <c r="FL298" s="163">
        <f>FL299+FL300</f>
        <v>0</v>
      </c>
      <c r="FM298" s="163"/>
      <c r="FN298" s="163">
        <f>FN299+FN300</f>
        <v>0</v>
      </c>
      <c r="FO298" s="180">
        <f t="shared" si="676"/>
        <v>784132.37148999993</v>
      </c>
      <c r="FP298" s="163">
        <f>FP299+FP300</f>
        <v>784132.37148999993</v>
      </c>
      <c r="FQ298" s="163"/>
      <c r="FR298" s="163">
        <f>FR299+FR300</f>
        <v>0</v>
      </c>
      <c r="FS298" s="163">
        <f t="shared" ref="FS298:FS303" si="684">FU298</f>
        <v>159275.06688</v>
      </c>
      <c r="FT298" s="577">
        <f t="shared" si="640"/>
        <v>0.25694489287457567</v>
      </c>
      <c r="FU298" s="163">
        <f>FU299+FU300</f>
        <v>159275.06688</v>
      </c>
      <c r="FV298" s="577">
        <f t="shared" si="641"/>
        <v>0.25694489287457567</v>
      </c>
      <c r="FW298" s="164"/>
      <c r="FX298" s="577"/>
      <c r="FY298" s="164"/>
      <c r="FZ298" s="672"/>
      <c r="GA298" s="163">
        <f t="shared" ref="GA298:GA303" si="685">GC298</f>
        <v>154650.98551999999</v>
      </c>
      <c r="GB298" s="577">
        <f t="shared" si="677"/>
        <v>0.24948525645462249</v>
      </c>
      <c r="GC298" s="163">
        <f>GC299+GC300</f>
        <v>154650.98551999999</v>
      </c>
      <c r="GD298" s="577">
        <f t="shared" si="657"/>
        <v>0.24948525645462249</v>
      </c>
      <c r="GE298" s="164"/>
      <c r="GF298" s="577"/>
      <c r="GG298" s="163"/>
      <c r="GH298" s="577"/>
      <c r="GI298" s="163">
        <f t="shared" ref="GI298:GI303" si="686">GK298</f>
        <v>605461.56415999995</v>
      </c>
      <c r="GJ298" s="577">
        <f t="shared" si="658"/>
        <v>0.97673954743948066</v>
      </c>
      <c r="GK298" s="163">
        <f>GK299+GK300</f>
        <v>605461.56415999995</v>
      </c>
      <c r="GL298" s="577">
        <f t="shared" si="659"/>
        <v>0.97673954743948066</v>
      </c>
      <c r="GM298" s="163"/>
      <c r="GN298" s="577"/>
      <c r="GO298" s="163"/>
      <c r="GP298" s="577"/>
      <c r="GQ298" s="164"/>
      <c r="GR298" s="164"/>
      <c r="GS298" s="164"/>
      <c r="GT298" s="164"/>
      <c r="GU298" s="181">
        <f t="shared" si="660"/>
        <v>1024057.98573</v>
      </c>
      <c r="GV298" s="164">
        <f>GV299+GV300</f>
        <v>1024057.98573</v>
      </c>
      <c r="GW298" s="164"/>
      <c r="GX298" s="164">
        <f>GX299+GX300</f>
        <v>0</v>
      </c>
      <c r="GY298" s="164"/>
      <c r="GZ298" s="164"/>
      <c r="HA298" s="164"/>
      <c r="HB298" s="164"/>
      <c r="HC298" s="164"/>
      <c r="HD298" s="164"/>
      <c r="HE298" s="164"/>
      <c r="HF298" s="164"/>
      <c r="HG298" s="181">
        <f t="shared" si="661"/>
        <v>0</v>
      </c>
      <c r="HH298" s="164">
        <f>HH299+HH300</f>
        <v>0</v>
      </c>
      <c r="HI298" s="164"/>
      <c r="HJ298" s="164">
        <f>HJ299+HJ300</f>
        <v>0</v>
      </c>
      <c r="HK298" s="181">
        <f t="shared" si="662"/>
        <v>0</v>
      </c>
      <c r="HL298" s="164">
        <f>HL299+HL300</f>
        <v>0</v>
      </c>
      <c r="HM298" s="164"/>
      <c r="HN298" s="164">
        <f>HN299+HN300</f>
        <v>0</v>
      </c>
      <c r="HO298" s="181">
        <f t="shared" si="678"/>
        <v>1024057.98573</v>
      </c>
      <c r="HP298" s="164">
        <f>HP299+HP300</f>
        <v>1024057.98573</v>
      </c>
      <c r="HQ298" s="164"/>
      <c r="HR298" s="164"/>
      <c r="HS298" s="181">
        <f t="shared" si="663"/>
        <v>0</v>
      </c>
      <c r="HT298" s="164">
        <f>HT299+HT300</f>
        <v>0</v>
      </c>
      <c r="HU298" s="164"/>
      <c r="HV298" s="164">
        <f>HV299+HV300</f>
        <v>0</v>
      </c>
      <c r="HW298" s="181">
        <f t="shared" si="664"/>
        <v>0</v>
      </c>
      <c r="HX298" s="164">
        <f>HX299+HX300</f>
        <v>0</v>
      </c>
      <c r="HY298" s="164"/>
      <c r="HZ298" s="164">
        <f>HZ299+HZ300</f>
        <v>0</v>
      </c>
      <c r="IA298" s="181">
        <f t="shared" si="665"/>
        <v>0</v>
      </c>
      <c r="IB298" s="164">
        <f>IB299+IB300</f>
        <v>0</v>
      </c>
      <c r="IC298" s="164"/>
      <c r="ID298" s="164">
        <f>ID299+ID300</f>
        <v>0</v>
      </c>
      <c r="IE298" s="326"/>
      <c r="IF298" s="170"/>
      <c r="IG298" s="170"/>
      <c r="IH298" s="170"/>
    </row>
    <row r="299" spans="2:249" s="171" customFormat="1" ht="37.9" hidden="1" customHeight="1" x14ac:dyDescent="0.25">
      <c r="B299" s="324"/>
      <c r="C299" s="164" t="s">
        <v>330</v>
      </c>
      <c r="D299" s="325"/>
      <c r="E299" s="164">
        <f>F299</f>
        <v>170210.8</v>
      </c>
      <c r="F299" s="164">
        <v>170210.8</v>
      </c>
      <c r="G299" s="164"/>
      <c r="H299" s="164">
        <f>I299</f>
        <v>5.2540000004228204E-2</v>
      </c>
      <c r="I299" s="164">
        <f>L299-F299</f>
        <v>5.2540000004228204E-2</v>
      </c>
      <c r="J299" s="164">
        <f>M299-G299</f>
        <v>0</v>
      </c>
      <c r="K299" s="164">
        <f>L299</f>
        <v>170210.85253999999</v>
      </c>
      <c r="L299" s="164">
        <v>170210.85253999999</v>
      </c>
      <c r="M299" s="164"/>
      <c r="N299" s="164">
        <f>O299</f>
        <v>0</v>
      </c>
      <c r="O299" s="164">
        <f>R299-L299</f>
        <v>0</v>
      </c>
      <c r="P299" s="164">
        <f>S299-M299</f>
        <v>0</v>
      </c>
      <c r="Q299" s="164">
        <f>R299</f>
        <v>170210.85253999999</v>
      </c>
      <c r="R299" s="164">
        <v>170210.85253999999</v>
      </c>
      <c r="S299" s="164"/>
      <c r="T299" s="164">
        <f>U299</f>
        <v>247700</v>
      </c>
      <c r="U299" s="164">
        <v>247700</v>
      </c>
      <c r="V299" s="164"/>
      <c r="W299" s="164">
        <f>X299</f>
        <v>-22178.637699999992</v>
      </c>
      <c r="X299" s="164">
        <f>AA299-U299</f>
        <v>-22178.637699999992</v>
      </c>
      <c r="Y299" s="164">
        <f>AB299-V299</f>
        <v>0</v>
      </c>
      <c r="Z299" s="164">
        <f>AA299</f>
        <v>225521.36230000001</v>
      </c>
      <c r="AA299" s="164">
        <v>225521.36230000001</v>
      </c>
      <c r="AB299" s="164"/>
      <c r="AC299" s="164">
        <f>AD299</f>
        <v>0</v>
      </c>
      <c r="AD299" s="164"/>
      <c r="AE299" s="164"/>
      <c r="AF299" s="164">
        <f>AG299</f>
        <v>225521.36230000001</v>
      </c>
      <c r="AG299" s="164">
        <f>AA299+AD299</f>
        <v>225521.36230000001</v>
      </c>
      <c r="AH299" s="164"/>
      <c r="AI299" s="164"/>
      <c r="AJ299" s="164">
        <f>AA299</f>
        <v>225521.36230000001</v>
      </c>
      <c r="AK299" s="164">
        <f>Z299-AJ299</f>
        <v>0</v>
      </c>
      <c r="AL299" s="164">
        <f>AF299-AJ299</f>
        <v>0</v>
      </c>
      <c r="AM299" s="164"/>
      <c r="AN299" s="164"/>
      <c r="AO299" s="164">
        <v>1</v>
      </c>
      <c r="AP299" s="164">
        <v>225521.36230000001</v>
      </c>
      <c r="AQ299" s="164"/>
      <c r="AR299" s="164">
        <f>AF299-AP299</f>
        <v>0</v>
      </c>
      <c r="AS299" s="164">
        <v>260000</v>
      </c>
      <c r="AT299" s="164">
        <v>260000</v>
      </c>
      <c r="AU299" s="164"/>
      <c r="AV299" s="164">
        <f>AW299</f>
        <v>0</v>
      </c>
      <c r="AW299" s="164">
        <f>AZ299-AT299</f>
        <v>0</v>
      </c>
      <c r="AX299" s="164">
        <f>BA299-AU299</f>
        <v>0</v>
      </c>
      <c r="AY299" s="164">
        <f>AZ299</f>
        <v>260000</v>
      </c>
      <c r="AZ299" s="164">
        <f>AT299</f>
        <v>260000</v>
      </c>
      <c r="BA299" s="164"/>
      <c r="BB299" s="164">
        <f>BC299</f>
        <v>262000</v>
      </c>
      <c r="BC299" s="164">
        <v>262000</v>
      </c>
      <c r="BD299" s="164"/>
      <c r="BE299" s="164">
        <f>BF299</f>
        <v>0</v>
      </c>
      <c r="BF299" s="164">
        <f>BW299-BC299</f>
        <v>0</v>
      </c>
      <c r="BG299" s="164">
        <f>BX299-BD299</f>
        <v>0</v>
      </c>
      <c r="BH299" s="164">
        <f>BI299</f>
        <v>232293.22948000001</v>
      </c>
      <c r="BI299" s="164">
        <v>232293.22948000001</v>
      </c>
      <c r="BJ299" s="164"/>
      <c r="BK299" s="164">
        <v>1</v>
      </c>
      <c r="BL299" s="164">
        <f t="shared" si="682"/>
        <v>260000</v>
      </c>
      <c r="BM299" s="164"/>
      <c r="BN299" s="164"/>
      <c r="BO299" s="164"/>
      <c r="BP299" s="164"/>
      <c r="BQ299" s="164"/>
      <c r="BR299" s="164"/>
      <c r="BS299" s="164">
        <f>BT299+BU299</f>
        <v>232293.22948000001</v>
      </c>
      <c r="BT299" s="164">
        <f>BI299</f>
        <v>232293.22948000001</v>
      </c>
      <c r="BU299" s="164"/>
      <c r="BV299" s="164">
        <f>BW299</f>
        <v>262000</v>
      </c>
      <c r="BW299" s="164">
        <v>262000</v>
      </c>
      <c r="BX299" s="164"/>
      <c r="BY299" s="164">
        <f>BZ299</f>
        <v>-149854.80285000001</v>
      </c>
      <c r="BZ299" s="164">
        <f>CC299-BI299</f>
        <v>-149854.80285000001</v>
      </c>
      <c r="CA299" s="164">
        <f>CD299-BX299</f>
        <v>0</v>
      </c>
      <c r="CB299" s="164">
        <f>CC299</f>
        <v>82438.426630000002</v>
      </c>
      <c r="CC299" s="164">
        <v>82438.426630000002</v>
      </c>
      <c r="CD299" s="164"/>
      <c r="CE299" s="164">
        <v>1</v>
      </c>
      <c r="CF299" s="164">
        <f t="shared" si="668"/>
        <v>262000</v>
      </c>
      <c r="CG299" s="164"/>
      <c r="CH299" s="164">
        <v>260000</v>
      </c>
      <c r="CI299" s="164">
        <v>260000</v>
      </c>
      <c r="CJ299" s="164"/>
      <c r="CK299" s="164">
        <f>CL299</f>
        <v>0</v>
      </c>
      <c r="CL299" s="164">
        <f>CR299-CI299</f>
        <v>0</v>
      </c>
      <c r="CM299" s="164">
        <f>CS299-CJ299</f>
        <v>0</v>
      </c>
      <c r="CN299" s="164">
        <f>CO299</f>
        <v>0</v>
      </c>
      <c r="CO299" s="164">
        <f>II299-CL299</f>
        <v>0</v>
      </c>
      <c r="CP299" s="164">
        <f>IJ299-CM299</f>
        <v>0</v>
      </c>
      <c r="CQ299" s="164">
        <f>CR299</f>
        <v>260000</v>
      </c>
      <c r="CR299" s="164">
        <v>260000</v>
      </c>
      <c r="CS299" s="164"/>
      <c r="CT299" s="164">
        <f>CU299</f>
        <v>0</v>
      </c>
      <c r="CU299" s="164">
        <v>0</v>
      </c>
      <c r="CV299" s="164"/>
      <c r="CW299" s="164">
        <f>CX299</f>
        <v>211235.33256000001</v>
      </c>
      <c r="CX299" s="164">
        <v>211235.33256000001</v>
      </c>
      <c r="CY299" s="164"/>
      <c r="CZ299" s="164">
        <f>DA299</f>
        <v>105000</v>
      </c>
      <c r="DA299" s="164">
        <v>105000</v>
      </c>
      <c r="DB299" s="164"/>
      <c r="DC299" s="164"/>
      <c r="DD299" s="164"/>
      <c r="DE299" s="164"/>
      <c r="DF299" s="164">
        <f>DG299</f>
        <v>0</v>
      </c>
      <c r="DG299" s="164">
        <f>DJ299-CX299</f>
        <v>0</v>
      </c>
      <c r="DH299" s="164"/>
      <c r="DI299" s="181">
        <f t="shared" si="637"/>
        <v>211235.33256000001</v>
      </c>
      <c r="DJ299" s="164">
        <f>CX299</f>
        <v>211235.33256000001</v>
      </c>
      <c r="DK299" s="164"/>
      <c r="DL299" s="164">
        <f>DM299</f>
        <v>39167.40569</v>
      </c>
      <c r="DM299" s="164">
        <f>19569.59431+19597.81138</f>
        <v>39167.40569</v>
      </c>
      <c r="DN299" s="164"/>
      <c r="DO299" s="164">
        <f>DP299</f>
        <v>55375.936260000002</v>
      </c>
      <c r="DP299" s="164">
        <v>55375.936260000002</v>
      </c>
      <c r="DQ299" s="164"/>
      <c r="DR299" s="164">
        <f>DS299</f>
        <v>116691.99061000002</v>
      </c>
      <c r="DS299" s="164">
        <f>DJ299-DM299-DP299</f>
        <v>116691.99061000002</v>
      </c>
      <c r="DT299" s="164"/>
      <c r="DU299" s="164">
        <f>DV299</f>
        <v>163246.18299</v>
      </c>
      <c r="DV299" s="164">
        <v>163246.18299</v>
      </c>
      <c r="DW299" s="164"/>
      <c r="DX299" s="164">
        <f>DY299</f>
        <v>120950</v>
      </c>
      <c r="DY299" s="164">
        <v>120950</v>
      </c>
      <c r="DZ299" s="164"/>
      <c r="EA299" s="164"/>
      <c r="EB299" s="164"/>
      <c r="EC299" s="164"/>
      <c r="ED299" s="181">
        <f>EE299+EE326</f>
        <v>328347.87286999996</v>
      </c>
      <c r="EE299" s="164">
        <f>EH299-DV299</f>
        <v>328347.87286999996</v>
      </c>
      <c r="EF299" s="164"/>
      <c r="EG299" s="181">
        <f t="shared" si="672"/>
        <v>491594.05585999996</v>
      </c>
      <c r="EH299" s="164">
        <f>547039.05386-55444.998</f>
        <v>491594.05585999996</v>
      </c>
      <c r="EI299" s="164"/>
      <c r="EJ299" s="164"/>
      <c r="EK299" s="164">
        <f>EL299</f>
        <v>-491594.05585999996</v>
      </c>
      <c r="EL299" s="164">
        <f>ET299-EH299</f>
        <v>-491594.05585999996</v>
      </c>
      <c r="EM299" s="164"/>
      <c r="EN299" s="164"/>
      <c r="EO299" s="164">
        <f>EP299</f>
        <v>0</v>
      </c>
      <c r="EP299" s="164"/>
      <c r="EQ299" s="164"/>
      <c r="ER299" s="164"/>
      <c r="ES299" s="164">
        <f t="shared" ref="ES299:ES306" si="687">ET299</f>
        <v>0</v>
      </c>
      <c r="ET299" s="164"/>
      <c r="EU299" s="164"/>
      <c r="EV299" s="164"/>
      <c r="EW299" s="164">
        <f>EX299</f>
        <v>169786.77174</v>
      </c>
      <c r="EX299" s="164">
        <v>169786.77174</v>
      </c>
      <c r="EY299" s="164">
        <v>0</v>
      </c>
      <c r="EZ299" s="181">
        <f t="shared" si="638"/>
        <v>360648.69261999999</v>
      </c>
      <c r="FA299" s="164">
        <f>FD299-EX299</f>
        <v>360648.69261999999</v>
      </c>
      <c r="FB299" s="164"/>
      <c r="FC299" s="180">
        <f t="shared" si="656"/>
        <v>530435.46435999998</v>
      </c>
      <c r="FD299" s="163">
        <v>530435.46435999998</v>
      </c>
      <c r="FE299" s="163"/>
      <c r="FF299" s="163"/>
      <c r="FG299" s="163">
        <f>FH299</f>
        <v>160676.47678999999</v>
      </c>
      <c r="FH299" s="163">
        <f>FP299-FD299</f>
        <v>160676.47678999999</v>
      </c>
      <c r="FI299" s="163"/>
      <c r="FJ299" s="163"/>
      <c r="FK299" s="163">
        <f>FL299</f>
        <v>0</v>
      </c>
      <c r="FL299" s="163"/>
      <c r="FM299" s="163"/>
      <c r="FN299" s="163"/>
      <c r="FO299" s="180">
        <f t="shared" si="676"/>
        <v>691111.94114999997</v>
      </c>
      <c r="FP299" s="163">
        <f>FD299+60676.47679+100000</f>
        <v>691111.94114999997</v>
      </c>
      <c r="FQ299" s="163"/>
      <c r="FR299" s="163"/>
      <c r="FS299" s="163">
        <f t="shared" si="684"/>
        <v>119772.09762</v>
      </c>
      <c r="FT299" s="577">
        <f t="shared" si="640"/>
        <v>0.22579956595570344</v>
      </c>
      <c r="FU299" s="163">
        <v>119772.09762</v>
      </c>
      <c r="FV299" s="577">
        <f t="shared" si="641"/>
        <v>0.22579956595570344</v>
      </c>
      <c r="FW299" s="164"/>
      <c r="FX299" s="577"/>
      <c r="FY299" s="164"/>
      <c r="FZ299" s="672"/>
      <c r="GA299" s="163">
        <f t="shared" si="685"/>
        <v>115722.23633</v>
      </c>
      <c r="GB299" s="577">
        <f t="shared" si="677"/>
        <v>0.21816459136951813</v>
      </c>
      <c r="GC299" s="163">
        <v>115722.23633</v>
      </c>
      <c r="GD299" s="577">
        <f t="shared" si="657"/>
        <v>0.21816459136951813</v>
      </c>
      <c r="GE299" s="164"/>
      <c r="GF299" s="577"/>
      <c r="GG299" s="163"/>
      <c r="GH299" s="577"/>
      <c r="GI299" s="163">
        <f t="shared" si="686"/>
        <v>522803.80643</v>
      </c>
      <c r="GJ299" s="577">
        <f t="shared" si="658"/>
        <v>0.98561246665660263</v>
      </c>
      <c r="GK299" s="163">
        <v>522803.80643</v>
      </c>
      <c r="GL299" s="577">
        <f t="shared" si="659"/>
        <v>0.98561246665660263</v>
      </c>
      <c r="GM299" s="163"/>
      <c r="GN299" s="577"/>
      <c r="GO299" s="163"/>
      <c r="GP299" s="577"/>
      <c r="GQ299" s="164"/>
      <c r="GR299" s="164"/>
      <c r="GS299" s="164"/>
      <c r="GT299" s="164"/>
      <c r="GU299" s="181">
        <f t="shared" si="660"/>
        <v>1018496.51799</v>
      </c>
      <c r="GV299" s="164">
        <v>1018496.51799</v>
      </c>
      <c r="GW299" s="164"/>
      <c r="GX299" s="164"/>
      <c r="GY299" s="164"/>
      <c r="GZ299" s="164"/>
      <c r="HA299" s="164"/>
      <c r="HB299" s="164"/>
      <c r="HC299" s="164"/>
      <c r="HD299" s="164"/>
      <c r="HE299" s="164"/>
      <c r="HF299" s="164"/>
      <c r="HG299" s="181">
        <f t="shared" si="661"/>
        <v>0</v>
      </c>
      <c r="HH299" s="164">
        <f>HP299-GV299</f>
        <v>0</v>
      </c>
      <c r="HI299" s="164"/>
      <c r="HJ299" s="164"/>
      <c r="HK299" s="181">
        <f t="shared" si="662"/>
        <v>0</v>
      </c>
      <c r="HL299" s="164">
        <f>IF299-GZ299</f>
        <v>0</v>
      </c>
      <c r="HM299" s="164"/>
      <c r="HN299" s="164"/>
      <c r="HO299" s="181">
        <f t="shared" si="678"/>
        <v>1018496.51799</v>
      </c>
      <c r="HP299" s="164">
        <f>GV299</f>
        <v>1018496.51799</v>
      </c>
      <c r="HQ299" s="164"/>
      <c r="HR299" s="164"/>
      <c r="HS299" s="181">
        <f t="shared" si="663"/>
        <v>0</v>
      </c>
      <c r="HT299" s="164">
        <v>0</v>
      </c>
      <c r="HU299" s="164"/>
      <c r="HV299" s="164"/>
      <c r="HW299" s="181">
        <f t="shared" si="664"/>
        <v>0</v>
      </c>
      <c r="HX299" s="164">
        <f>IR299-HL299</f>
        <v>0</v>
      </c>
      <c r="HY299" s="164"/>
      <c r="HZ299" s="164"/>
      <c r="IA299" s="181">
        <f t="shared" si="665"/>
        <v>0</v>
      </c>
      <c r="IB299" s="164">
        <v>0</v>
      </c>
      <c r="IC299" s="164"/>
      <c r="ID299" s="164"/>
      <c r="IE299" s="326"/>
      <c r="IF299" s="170"/>
      <c r="IG299" s="170"/>
      <c r="IH299" s="170"/>
    </row>
    <row r="300" spans="2:249" s="171" customFormat="1" ht="31.9" hidden="1" customHeight="1" x14ac:dyDescent="0.25">
      <c r="B300" s="324"/>
      <c r="C300" s="164" t="s">
        <v>387</v>
      </c>
      <c r="D300" s="325"/>
      <c r="E300" s="164">
        <f>F300+G300</f>
        <v>50916.204259999999</v>
      </c>
      <c r="F300" s="164">
        <v>44486.208070000001</v>
      </c>
      <c r="G300" s="164">
        <v>6429.9961899999998</v>
      </c>
      <c r="H300" s="164">
        <f>I300+J300</f>
        <v>-500</v>
      </c>
      <c r="I300" s="164">
        <f>L300-F300</f>
        <v>-500</v>
      </c>
      <c r="J300" s="164">
        <f>M300-G300</f>
        <v>0</v>
      </c>
      <c r="K300" s="164">
        <f>L300+M300</f>
        <v>50416.204259999999</v>
      </c>
      <c r="L300" s="164">
        <v>43986.208070000001</v>
      </c>
      <c r="M300" s="164">
        <v>6429.9961899999998</v>
      </c>
      <c r="N300" s="164">
        <f>O300+P300</f>
        <v>0</v>
      </c>
      <c r="O300" s="164">
        <f>R300-L300</f>
        <v>0</v>
      </c>
      <c r="P300" s="164">
        <f>S300-M300</f>
        <v>0</v>
      </c>
      <c r="Q300" s="164">
        <f>R300+S300</f>
        <v>50416.204259999999</v>
      </c>
      <c r="R300" s="164">
        <v>43986.208070000001</v>
      </c>
      <c r="S300" s="164">
        <v>6429.9961899999998</v>
      </c>
      <c r="T300" s="164">
        <f>U300+V300</f>
        <v>0</v>
      </c>
      <c r="U300" s="164"/>
      <c r="V300" s="164"/>
      <c r="W300" s="164">
        <f>X300+Y300</f>
        <v>6830.2412400000003</v>
      </c>
      <c r="X300" s="164">
        <f>AA300-U300</f>
        <v>6830.2412400000003</v>
      </c>
      <c r="Y300" s="164">
        <f>AB300-V300</f>
        <v>0</v>
      </c>
      <c r="Z300" s="164">
        <f>AA300+AB300</f>
        <v>6830.2412400000003</v>
      </c>
      <c r="AA300" s="164">
        <v>6830.2412400000003</v>
      </c>
      <c r="AB300" s="164"/>
      <c r="AC300" s="164">
        <f>AD300+AE300</f>
        <v>0</v>
      </c>
      <c r="AD300" s="164"/>
      <c r="AE300" s="164"/>
      <c r="AF300" s="164">
        <f>AG300+AH300</f>
        <v>6830.2412400000003</v>
      </c>
      <c r="AG300" s="164">
        <f>AA300+AD300</f>
        <v>6830.2412400000003</v>
      </c>
      <c r="AH300" s="164"/>
      <c r="AI300" s="164"/>
      <c r="AJ300" s="164">
        <f>AA300</f>
        <v>6830.2412400000003</v>
      </c>
      <c r="AK300" s="164">
        <f>Z300-AJ300</f>
        <v>0</v>
      </c>
      <c r="AL300" s="164">
        <f>AF300-AJ300</f>
        <v>0</v>
      </c>
      <c r="AM300" s="164"/>
      <c r="AN300" s="164"/>
      <c r="AO300" s="164">
        <v>1</v>
      </c>
      <c r="AP300" s="164">
        <v>6830.2412400000003</v>
      </c>
      <c r="AQ300" s="164"/>
      <c r="AR300" s="164">
        <f>AF300-AP300</f>
        <v>0</v>
      </c>
      <c r="AS300" s="164">
        <f>AT300+AU300</f>
        <v>0</v>
      </c>
      <c r="AT300" s="164"/>
      <c r="AU300" s="164"/>
      <c r="AV300" s="164">
        <f>AW300+AX300</f>
        <v>0</v>
      </c>
      <c r="AW300" s="164">
        <f>AZ300-AT300</f>
        <v>0</v>
      </c>
      <c r="AX300" s="164">
        <f>BA300-AU300</f>
        <v>0</v>
      </c>
      <c r="AY300" s="164">
        <f>AZ300+BA300</f>
        <v>0</v>
      </c>
      <c r="AZ300" s="164">
        <v>0</v>
      </c>
      <c r="BA300" s="164"/>
      <c r="BB300" s="164">
        <f>BC300+BD300</f>
        <v>0</v>
      </c>
      <c r="BC300" s="164"/>
      <c r="BD300" s="164"/>
      <c r="BE300" s="164">
        <f>BF300+BG300</f>
        <v>0</v>
      </c>
      <c r="BF300" s="164">
        <f>BW300-BC300</f>
        <v>0</v>
      </c>
      <c r="BG300" s="164">
        <f>BX300-BD300</f>
        <v>0</v>
      </c>
      <c r="BH300" s="164">
        <f>BI300+BJ300</f>
        <v>2476.8842199999999</v>
      </c>
      <c r="BI300" s="164">
        <v>2476.8842199999999</v>
      </c>
      <c r="BJ300" s="164"/>
      <c r="BK300" s="164">
        <v>1</v>
      </c>
      <c r="BL300" s="164">
        <f t="shared" si="682"/>
        <v>0</v>
      </c>
      <c r="BM300" s="164"/>
      <c r="BN300" s="164"/>
      <c r="BO300" s="164"/>
      <c r="BP300" s="164">
        <f>BQ300+BR300</f>
        <v>0</v>
      </c>
      <c r="BQ300" s="164"/>
      <c r="BR300" s="164"/>
      <c r="BS300" s="164">
        <f>BT300+BU300</f>
        <v>2476.8842199999999</v>
      </c>
      <c r="BT300" s="164">
        <f>BI300</f>
        <v>2476.8842199999999</v>
      </c>
      <c r="BU300" s="164"/>
      <c r="BV300" s="164">
        <f>BW300+BX300</f>
        <v>0</v>
      </c>
      <c r="BW300" s="164"/>
      <c r="BX300" s="164"/>
      <c r="BY300" s="164">
        <f>BZ300+CA300</f>
        <v>6758.8642400000008</v>
      </c>
      <c r="BZ300" s="164">
        <f>CC300-BI300</f>
        <v>6758.8642400000008</v>
      </c>
      <c r="CA300" s="164">
        <f>CD300-BX300</f>
        <v>0</v>
      </c>
      <c r="CB300" s="164">
        <f>CC300+CD300</f>
        <v>9235.7484600000007</v>
      </c>
      <c r="CC300" s="164">
        <v>9235.7484600000007</v>
      </c>
      <c r="CD300" s="164"/>
      <c r="CE300" s="164">
        <v>1</v>
      </c>
      <c r="CF300" s="164">
        <f t="shared" si="668"/>
        <v>0</v>
      </c>
      <c r="CG300" s="164"/>
      <c r="CH300" s="164">
        <f>CI300+CJ300</f>
        <v>0</v>
      </c>
      <c r="CI300" s="164"/>
      <c r="CJ300" s="164"/>
      <c r="CK300" s="164">
        <f>CL300+CM300</f>
        <v>2000</v>
      </c>
      <c r="CL300" s="164">
        <f>CR300-CI300</f>
        <v>2000</v>
      </c>
      <c r="CM300" s="164">
        <f>CS300-CJ300</f>
        <v>0</v>
      </c>
      <c r="CN300" s="164">
        <f>CO300+CP300</f>
        <v>-2000</v>
      </c>
      <c r="CO300" s="164">
        <f>II300-CL300</f>
        <v>-2000</v>
      </c>
      <c r="CP300" s="164">
        <f>IJ300-CM300</f>
        <v>0</v>
      </c>
      <c r="CQ300" s="164">
        <f>CR300+CS300</f>
        <v>2000</v>
      </c>
      <c r="CR300" s="164">
        <v>2000</v>
      </c>
      <c r="CS300" s="164"/>
      <c r="CT300" s="164">
        <f>CU300+CV300</f>
        <v>0</v>
      </c>
      <c r="CU300" s="164"/>
      <c r="CV300" s="164"/>
      <c r="CW300" s="164">
        <f>CX300+CY300</f>
        <v>33454.833590000002</v>
      </c>
      <c r="CX300" s="164">
        <v>33454.833590000002</v>
      </c>
      <c r="CY300" s="164"/>
      <c r="CZ300" s="164">
        <f>DA300+DB300</f>
        <v>2000</v>
      </c>
      <c r="DA300" s="164">
        <f>CR300</f>
        <v>2000</v>
      </c>
      <c r="DB300" s="164"/>
      <c r="DC300" s="164"/>
      <c r="DD300" s="164"/>
      <c r="DE300" s="164"/>
      <c r="DF300" s="164">
        <f>DG300+DH300</f>
        <v>2900</v>
      </c>
      <c r="DG300" s="164">
        <f>DJ300-CX300</f>
        <v>2900</v>
      </c>
      <c r="DH300" s="164"/>
      <c r="DI300" s="181">
        <f t="shared" si="637"/>
        <v>36354.833590000002</v>
      </c>
      <c r="DJ300" s="164">
        <f>CX300+2900</f>
        <v>36354.833590000002</v>
      </c>
      <c r="DK300" s="164"/>
      <c r="DL300" s="164">
        <f>DM300+DN300</f>
        <v>1248.06333</v>
      </c>
      <c r="DM300" s="164">
        <f>174.85145+1073.21188</f>
        <v>1248.06333</v>
      </c>
      <c r="DN300" s="164"/>
      <c r="DO300" s="164">
        <f>DP300+DQ300</f>
        <v>5525.1904199999999</v>
      </c>
      <c r="DP300" s="164">
        <v>5525.1904199999999</v>
      </c>
      <c r="DQ300" s="164"/>
      <c r="DR300" s="164">
        <f>DS300+DT300</f>
        <v>29581.579840000006</v>
      </c>
      <c r="DS300" s="164">
        <f>DJ300-DM300-DP300</f>
        <v>29581.579840000006</v>
      </c>
      <c r="DT300" s="164"/>
      <c r="DU300" s="164">
        <f>DV300+DW300</f>
        <v>3577.9145400000002</v>
      </c>
      <c r="DV300" s="164">
        <v>3577.9145400000002</v>
      </c>
      <c r="DW300" s="164"/>
      <c r="DX300" s="164">
        <f>DY300+DZ300</f>
        <v>6000</v>
      </c>
      <c r="DY300" s="164">
        <v>6000</v>
      </c>
      <c r="DZ300" s="164"/>
      <c r="EA300" s="164"/>
      <c r="EB300" s="164"/>
      <c r="EC300" s="164"/>
      <c r="ED300" s="181">
        <f>EE300+EE328</f>
        <v>4144.3703999999998</v>
      </c>
      <c r="EE300" s="164">
        <f>EH300-DV300</f>
        <v>4144.3703999999998</v>
      </c>
      <c r="EF300" s="164"/>
      <c r="EG300" s="181">
        <f t="shared" si="672"/>
        <v>7722.2849399999996</v>
      </c>
      <c r="EH300" s="164">
        <v>7722.2849399999996</v>
      </c>
      <c r="EI300" s="164"/>
      <c r="EJ300" s="164"/>
      <c r="EK300" s="164">
        <f>EL300+EN300</f>
        <v>-7722.2849399999996</v>
      </c>
      <c r="EL300" s="164">
        <f>ET300-EH300</f>
        <v>-7722.2849399999996</v>
      </c>
      <c r="EM300" s="164"/>
      <c r="EN300" s="164"/>
      <c r="EO300" s="164">
        <f>EP300+ER300</f>
        <v>0</v>
      </c>
      <c r="EP300" s="164"/>
      <c r="EQ300" s="164"/>
      <c r="ER300" s="164"/>
      <c r="ES300" s="164">
        <f t="shared" si="687"/>
        <v>0</v>
      </c>
      <c r="ET300" s="164"/>
      <c r="EU300" s="164"/>
      <c r="EV300" s="164"/>
      <c r="EW300" s="164">
        <f>EX300+EY300</f>
        <v>5162.3214399999997</v>
      </c>
      <c r="EX300" s="164">
        <v>5162.3214399999997</v>
      </c>
      <c r="EY300" s="164">
        <v>0</v>
      </c>
      <c r="EZ300" s="181">
        <f t="shared" si="638"/>
        <v>84282.473729999998</v>
      </c>
      <c r="FA300" s="164">
        <f>FD300-EX300</f>
        <v>84282.473729999998</v>
      </c>
      <c r="FB300" s="164"/>
      <c r="FC300" s="180">
        <f t="shared" si="656"/>
        <v>89444.795169999998</v>
      </c>
      <c r="FD300" s="163">
        <v>89444.795169999998</v>
      </c>
      <c r="FE300" s="163"/>
      <c r="FF300" s="163"/>
      <c r="FG300" s="163">
        <f>FH300+FJ300</f>
        <v>3575.6351699999941</v>
      </c>
      <c r="FH300" s="163">
        <f>FP300-FD300</f>
        <v>3575.6351699999941</v>
      </c>
      <c r="FI300" s="163"/>
      <c r="FJ300" s="163"/>
      <c r="FK300" s="163">
        <f>FL300+FN300</f>
        <v>0</v>
      </c>
      <c r="FL300" s="163"/>
      <c r="FM300" s="163"/>
      <c r="FN300" s="163"/>
      <c r="FO300" s="180">
        <f t="shared" si="676"/>
        <v>93020.430339999992</v>
      </c>
      <c r="FP300" s="163">
        <f>FD300+3575.63517</f>
        <v>93020.430339999992</v>
      </c>
      <c r="FQ300" s="163"/>
      <c r="FR300" s="163"/>
      <c r="FS300" s="163">
        <f t="shared" si="684"/>
        <v>39502.969259999998</v>
      </c>
      <c r="FT300" s="577">
        <f t="shared" si="640"/>
        <v>0.441646371763948</v>
      </c>
      <c r="FU300" s="163">
        <v>39502.969259999998</v>
      </c>
      <c r="FV300" s="577">
        <f t="shared" si="641"/>
        <v>0.441646371763948</v>
      </c>
      <c r="FW300" s="164"/>
      <c r="FX300" s="577"/>
      <c r="FY300" s="164"/>
      <c r="FZ300" s="672"/>
      <c r="GA300" s="163">
        <f t="shared" si="685"/>
        <v>38928.749190000002</v>
      </c>
      <c r="GB300" s="577">
        <f t="shared" si="677"/>
        <v>0.43522654522279908</v>
      </c>
      <c r="GC300" s="163">
        <v>38928.749190000002</v>
      </c>
      <c r="GD300" s="577">
        <f t="shared" si="657"/>
        <v>0.43522654522279908</v>
      </c>
      <c r="GE300" s="164"/>
      <c r="GF300" s="577"/>
      <c r="GG300" s="163"/>
      <c r="GH300" s="577"/>
      <c r="GI300" s="163">
        <f t="shared" si="686"/>
        <v>82657.757729999998</v>
      </c>
      <c r="GJ300" s="577">
        <f t="shared" si="658"/>
        <v>0.92412037584634787</v>
      </c>
      <c r="GK300" s="163">
        <v>82657.757729999998</v>
      </c>
      <c r="GL300" s="577">
        <f t="shared" si="659"/>
        <v>0.92412037584634787</v>
      </c>
      <c r="GM300" s="163"/>
      <c r="GN300" s="577"/>
      <c r="GO300" s="163"/>
      <c r="GP300" s="577"/>
      <c r="GQ300" s="164"/>
      <c r="GR300" s="164"/>
      <c r="GS300" s="164"/>
      <c r="GT300" s="164"/>
      <c r="GU300" s="181">
        <f t="shared" si="660"/>
        <v>5561.46774</v>
      </c>
      <c r="GV300" s="164">
        <v>5561.46774</v>
      </c>
      <c r="GW300" s="164"/>
      <c r="GX300" s="164"/>
      <c r="GY300" s="164"/>
      <c r="GZ300" s="164"/>
      <c r="HA300" s="164"/>
      <c r="HB300" s="164"/>
      <c r="HC300" s="164"/>
      <c r="HD300" s="164"/>
      <c r="HE300" s="164"/>
      <c r="HF300" s="164"/>
      <c r="HG300" s="181">
        <f t="shared" si="661"/>
        <v>0</v>
      </c>
      <c r="HH300" s="164">
        <f>HB300</f>
        <v>0</v>
      </c>
      <c r="HI300" s="164"/>
      <c r="HJ300" s="164"/>
      <c r="HK300" s="181">
        <f t="shared" si="662"/>
        <v>0</v>
      </c>
      <c r="HL300" s="164">
        <f>HF300</f>
        <v>0</v>
      </c>
      <c r="HM300" s="164"/>
      <c r="HN300" s="164"/>
      <c r="HO300" s="181">
        <f t="shared" si="678"/>
        <v>5561.46774</v>
      </c>
      <c r="HP300" s="164">
        <f>GV300</f>
        <v>5561.46774</v>
      </c>
      <c r="HQ300" s="164"/>
      <c r="HR300" s="164"/>
      <c r="HS300" s="181">
        <f t="shared" si="663"/>
        <v>0</v>
      </c>
      <c r="HT300" s="164">
        <v>0</v>
      </c>
      <c r="HU300" s="164"/>
      <c r="HV300" s="164"/>
      <c r="HW300" s="181">
        <f t="shared" si="664"/>
        <v>0</v>
      </c>
      <c r="HX300" s="164">
        <f>HR300</f>
        <v>0</v>
      </c>
      <c r="HY300" s="164"/>
      <c r="HZ300" s="164"/>
      <c r="IA300" s="181">
        <f t="shared" si="665"/>
        <v>0</v>
      </c>
      <c r="IB300" s="164">
        <v>0</v>
      </c>
      <c r="IC300" s="164"/>
      <c r="ID300" s="164"/>
      <c r="IE300" s="326"/>
      <c r="IF300" s="170"/>
      <c r="IG300" s="170"/>
      <c r="IH300" s="170"/>
    </row>
    <row r="301" spans="2:249" s="171" customFormat="1" ht="42.75" hidden="1" customHeight="1" x14ac:dyDescent="0.25">
      <c r="B301" s="324"/>
      <c r="C301" s="266" t="s">
        <v>504</v>
      </c>
      <c r="D301" s="325"/>
      <c r="E301" s="164">
        <f>F301+G301</f>
        <v>14792.057209999999</v>
      </c>
      <c r="F301" s="164">
        <f>F302+F303</f>
        <v>14792.057209999999</v>
      </c>
      <c r="G301" s="164">
        <f>G302+G303</f>
        <v>0</v>
      </c>
      <c r="H301" s="164">
        <f>I301+J301</f>
        <v>-5835.4332599999998</v>
      </c>
      <c r="I301" s="164">
        <f>I302+I303</f>
        <v>-5835.4332599999998</v>
      </c>
      <c r="J301" s="164">
        <f>J302+J303</f>
        <v>0</v>
      </c>
      <c r="K301" s="164">
        <f>L301+M301</f>
        <v>8956.6239499999992</v>
      </c>
      <c r="L301" s="164">
        <f>L302+L303</f>
        <v>8956.6239499999992</v>
      </c>
      <c r="M301" s="164">
        <f>M302+M303</f>
        <v>0</v>
      </c>
      <c r="N301" s="164">
        <f>O301+P301</f>
        <v>0</v>
      </c>
      <c r="O301" s="164">
        <f>O302+O303</f>
        <v>0</v>
      </c>
      <c r="P301" s="164">
        <f>P302+P303</f>
        <v>0</v>
      </c>
      <c r="Q301" s="164">
        <f>R301+S301</f>
        <v>8956.6239499999992</v>
      </c>
      <c r="R301" s="164">
        <f>R302+R303</f>
        <v>8956.6239499999992</v>
      </c>
      <c r="S301" s="164">
        <f>S302+S303</f>
        <v>0</v>
      </c>
      <c r="T301" s="164">
        <f>U301+V301</f>
        <v>0</v>
      </c>
      <c r="U301" s="164">
        <f>U302+U303</f>
        <v>0</v>
      </c>
      <c r="V301" s="164">
        <f>V302+V303</f>
        <v>0</v>
      </c>
      <c r="W301" s="164">
        <f>X301+Y301</f>
        <v>26903.971130000002</v>
      </c>
      <c r="X301" s="164">
        <f>X302+X303</f>
        <v>26903.971130000002</v>
      </c>
      <c r="Y301" s="164">
        <f>Y302+Y303</f>
        <v>0</v>
      </c>
      <c r="Z301" s="164">
        <f>AA301+AB301</f>
        <v>26903.971130000002</v>
      </c>
      <c r="AA301" s="164">
        <f t="shared" ref="AA301:AN301" si="688">AA302+AA303</f>
        <v>26903.971130000002</v>
      </c>
      <c r="AB301" s="164">
        <f t="shared" si="688"/>
        <v>0</v>
      </c>
      <c r="AC301" s="164">
        <f t="shared" si="688"/>
        <v>0</v>
      </c>
      <c r="AD301" s="164">
        <f t="shared" si="688"/>
        <v>0</v>
      </c>
      <c r="AE301" s="164">
        <f t="shared" si="688"/>
        <v>0</v>
      </c>
      <c r="AF301" s="164">
        <f t="shared" si="688"/>
        <v>26903.971130000002</v>
      </c>
      <c r="AG301" s="164">
        <f t="shared" si="688"/>
        <v>26903.971130000002</v>
      </c>
      <c r="AH301" s="164">
        <f t="shared" si="688"/>
        <v>0</v>
      </c>
      <c r="AI301" s="164">
        <f t="shared" si="688"/>
        <v>0</v>
      </c>
      <c r="AJ301" s="164">
        <f t="shared" si="688"/>
        <v>26903.971130000002</v>
      </c>
      <c r="AK301" s="164">
        <f t="shared" si="688"/>
        <v>0</v>
      </c>
      <c r="AL301" s="164">
        <f t="shared" si="688"/>
        <v>26903.971130000002</v>
      </c>
      <c r="AM301" s="164">
        <f t="shared" si="688"/>
        <v>0</v>
      </c>
      <c r="AN301" s="164">
        <f t="shared" si="688"/>
        <v>0</v>
      </c>
      <c r="AO301" s="164">
        <v>1</v>
      </c>
      <c r="AP301" s="164">
        <f>AP302+AP303</f>
        <v>26903.971130000002</v>
      </c>
      <c r="AQ301" s="164">
        <f>AQ302+AQ303</f>
        <v>0</v>
      </c>
      <c r="AR301" s="164">
        <f>AR302+AR303</f>
        <v>0</v>
      </c>
      <c r="AS301" s="164">
        <f>AT301+AU301</f>
        <v>0</v>
      </c>
      <c r="AT301" s="164">
        <f>AT302+AT303</f>
        <v>0</v>
      </c>
      <c r="AU301" s="164">
        <f>AU302+AU303</f>
        <v>0</v>
      </c>
      <c r="AV301" s="164">
        <f>AW301+AX301</f>
        <v>0</v>
      </c>
      <c r="AW301" s="164">
        <f>AW302+AW303</f>
        <v>0</v>
      </c>
      <c r="AX301" s="164">
        <f>AX302+AX303</f>
        <v>0</v>
      </c>
      <c r="AY301" s="164">
        <f>AZ301+BA301</f>
        <v>0</v>
      </c>
      <c r="AZ301" s="164">
        <f>AZ302+AZ303</f>
        <v>0</v>
      </c>
      <c r="BA301" s="164">
        <f>BA302+BA303</f>
        <v>0</v>
      </c>
      <c r="BB301" s="164">
        <f>BC301+BD301</f>
        <v>0</v>
      </c>
      <c r="BC301" s="164">
        <f>BC302+BC303</f>
        <v>0</v>
      </c>
      <c r="BD301" s="164">
        <f>BD302+BD303</f>
        <v>0</v>
      </c>
      <c r="BE301" s="164">
        <f>BF301+BG301</f>
        <v>0</v>
      </c>
      <c r="BF301" s="164">
        <f>BF302+BF303</f>
        <v>0</v>
      </c>
      <c r="BG301" s="164">
        <f>BG302+BG303</f>
        <v>0</v>
      </c>
      <c r="BH301" s="164">
        <f>BI301+BJ301</f>
        <v>0</v>
      </c>
      <c r="BI301" s="164">
        <f>BI302+BI303</f>
        <v>0</v>
      </c>
      <c r="BJ301" s="164">
        <f>BJ302+BJ303</f>
        <v>0</v>
      </c>
      <c r="BK301" s="164">
        <v>1</v>
      </c>
      <c r="BL301" s="164">
        <f t="shared" si="682"/>
        <v>0</v>
      </c>
      <c r="BM301" s="164"/>
      <c r="BN301" s="164"/>
      <c r="BO301" s="164"/>
      <c r="BP301" s="164"/>
      <c r="BQ301" s="164"/>
      <c r="BR301" s="164"/>
      <c r="BS301" s="164">
        <f>BT301+BU301</f>
        <v>0</v>
      </c>
      <c r="BT301" s="164">
        <v>0</v>
      </c>
      <c r="BU301" s="164"/>
      <c r="BV301" s="164">
        <f>BW301+BX301</f>
        <v>0</v>
      </c>
      <c r="BW301" s="164">
        <f>BW302+BW303</f>
        <v>0</v>
      </c>
      <c r="BX301" s="164">
        <f>BX302+BX303</f>
        <v>0</v>
      </c>
      <c r="BY301" s="164">
        <f>BZ301+CA301</f>
        <v>0</v>
      </c>
      <c r="BZ301" s="164">
        <f>BZ302+BZ303</f>
        <v>0</v>
      </c>
      <c r="CA301" s="164">
        <f>CA302+CA303</f>
        <v>0</v>
      </c>
      <c r="CB301" s="164">
        <f>CC301+CD301</f>
        <v>0</v>
      </c>
      <c r="CC301" s="164">
        <f>CC302+CC303</f>
        <v>0</v>
      </c>
      <c r="CD301" s="164">
        <f>CD302+CD303</f>
        <v>0</v>
      </c>
      <c r="CE301" s="164">
        <v>1</v>
      </c>
      <c r="CF301" s="164">
        <f t="shared" si="668"/>
        <v>0</v>
      </c>
      <c r="CG301" s="164"/>
      <c r="CH301" s="164">
        <f>CI301+CJ301</f>
        <v>0</v>
      </c>
      <c r="CI301" s="164">
        <f>CI302+CI303</f>
        <v>0</v>
      </c>
      <c r="CJ301" s="164">
        <f>CJ302+CJ303</f>
        <v>0</v>
      </c>
      <c r="CK301" s="164">
        <f>CL301+CM301</f>
        <v>0</v>
      </c>
      <c r="CL301" s="164">
        <f>CL302+CL303</f>
        <v>0</v>
      </c>
      <c r="CM301" s="164">
        <f>CM302+CM303</f>
        <v>0</v>
      </c>
      <c r="CN301" s="164">
        <f>CO301+CP301</f>
        <v>0</v>
      </c>
      <c r="CO301" s="164">
        <f>CO302+CO303</f>
        <v>0</v>
      </c>
      <c r="CP301" s="164">
        <f>CP302+CP303</f>
        <v>0</v>
      </c>
      <c r="CQ301" s="164">
        <f>CR301+CS301</f>
        <v>0</v>
      </c>
      <c r="CR301" s="164">
        <f>CR302+CR303</f>
        <v>0</v>
      </c>
      <c r="CS301" s="164">
        <f>CS302+CS303</f>
        <v>0</v>
      </c>
      <c r="CT301" s="164">
        <f>CU301+CV301</f>
        <v>78590</v>
      </c>
      <c r="CU301" s="164">
        <f>CU302+CU303</f>
        <v>78590</v>
      </c>
      <c r="CV301" s="164">
        <f>CV302+CV303</f>
        <v>0</v>
      </c>
      <c r="CW301" s="164">
        <f>CX301+CY301</f>
        <v>14073.91511</v>
      </c>
      <c r="CX301" s="164">
        <f>CX302+CX303</f>
        <v>14073.91511</v>
      </c>
      <c r="CY301" s="164">
        <f>CY302+CY303</f>
        <v>0</v>
      </c>
      <c r="CZ301" s="164">
        <f>DA301+DB301</f>
        <v>0</v>
      </c>
      <c r="DA301" s="164">
        <f>DA302+DA303</f>
        <v>0</v>
      </c>
      <c r="DB301" s="164">
        <f>DB302+DB303</f>
        <v>0</v>
      </c>
      <c r="DC301" s="164">
        <f>DD301</f>
        <v>15541.021500000001</v>
      </c>
      <c r="DD301" s="164">
        <f>DD302+DD303</f>
        <v>15541.021500000001</v>
      </c>
      <c r="DE301" s="164"/>
      <c r="DF301" s="164">
        <f>DG301+DH301</f>
        <v>0</v>
      </c>
      <c r="DG301" s="164">
        <f>DG302+DG303</f>
        <v>0</v>
      </c>
      <c r="DH301" s="164">
        <f>DH302+DH303</f>
        <v>0</v>
      </c>
      <c r="DI301" s="181">
        <f t="shared" si="637"/>
        <v>14073.91511</v>
      </c>
      <c r="DJ301" s="164">
        <f>CX301+DG301</f>
        <v>14073.91511</v>
      </c>
      <c r="DK301" s="164">
        <f>DK302+DK303</f>
        <v>0</v>
      </c>
      <c r="DL301" s="164">
        <f>DM301+DN301</f>
        <v>14073.91511</v>
      </c>
      <c r="DM301" s="164">
        <f>DA301+DJ301</f>
        <v>14073.91511</v>
      </c>
      <c r="DN301" s="164">
        <f>DN302+DN303</f>
        <v>0</v>
      </c>
      <c r="DO301" s="164">
        <f>DP301+DQ301</f>
        <v>0</v>
      </c>
      <c r="DP301" s="164">
        <f>DP302+DP303</f>
        <v>0</v>
      </c>
      <c r="DQ301" s="164">
        <f>DQ302+DQ303</f>
        <v>0</v>
      </c>
      <c r="DR301" s="164">
        <f>DS301+DT301</f>
        <v>11148</v>
      </c>
      <c r="DS301" s="164">
        <f>DS302+DS303</f>
        <v>11148</v>
      </c>
      <c r="DT301" s="164">
        <f>DT302+DT303</f>
        <v>0</v>
      </c>
      <c r="DU301" s="164">
        <f t="shared" ref="DU301:DU306" si="689">DV301</f>
        <v>15541.021500000001</v>
      </c>
      <c r="DV301" s="164">
        <f>DV302+DV303</f>
        <v>15541.021500000001</v>
      </c>
      <c r="DW301" s="164"/>
      <c r="DX301" s="164">
        <f>DY301+DZ301</f>
        <v>0</v>
      </c>
      <c r="DY301" s="164">
        <f>DY302+DY303</f>
        <v>0</v>
      </c>
      <c r="DZ301" s="164">
        <f>DZ302+DZ303</f>
        <v>0</v>
      </c>
      <c r="EA301" s="164">
        <f>EB301+EC301</f>
        <v>0</v>
      </c>
      <c r="EB301" s="164">
        <f>EB302</f>
        <v>0</v>
      </c>
      <c r="EC301" s="164"/>
      <c r="ED301" s="181" t="e">
        <f>EE301+#REF!</f>
        <v>#REF!</v>
      </c>
      <c r="EE301" s="164">
        <f>EE302+EE303</f>
        <v>63539.100630000001</v>
      </c>
      <c r="EF301" s="164"/>
      <c r="EG301" s="181">
        <f t="shared" si="672"/>
        <v>79080.122130000003</v>
      </c>
      <c r="EH301" s="164">
        <f>EH302+EH303</f>
        <v>79080.122130000003</v>
      </c>
      <c r="EI301" s="164"/>
      <c r="EJ301" s="164">
        <f>EJ302+EJ303</f>
        <v>0</v>
      </c>
      <c r="EK301" s="164">
        <f>EL301+EN301</f>
        <v>-79080.122130000003</v>
      </c>
      <c r="EL301" s="164">
        <f>EL302+EL303</f>
        <v>-79080.122130000003</v>
      </c>
      <c r="EM301" s="164"/>
      <c r="EN301" s="164">
        <f>EN302+EN303</f>
        <v>0</v>
      </c>
      <c r="EO301" s="164">
        <f>EP301+ER301</f>
        <v>0</v>
      </c>
      <c r="EP301" s="164">
        <f>EP302+EP303</f>
        <v>0</v>
      </c>
      <c r="EQ301" s="164"/>
      <c r="ER301" s="164">
        <f>ER302+ER303</f>
        <v>0</v>
      </c>
      <c r="ES301" s="164">
        <f t="shared" si="687"/>
        <v>0</v>
      </c>
      <c r="ET301" s="164">
        <f>ET302+ET303</f>
        <v>0</v>
      </c>
      <c r="EU301" s="164"/>
      <c r="EV301" s="164"/>
      <c r="EW301" s="164">
        <f>EX301+EY301</f>
        <v>8536.1158599999999</v>
      </c>
      <c r="EX301" s="164">
        <f>EX302+EX303</f>
        <v>8536.1158599999999</v>
      </c>
      <c r="EY301" s="164">
        <f>EY302+EY303</f>
        <v>0</v>
      </c>
      <c r="EZ301" s="181">
        <f t="shared" si="638"/>
        <v>87225.860329999996</v>
      </c>
      <c r="FA301" s="164">
        <f>FA302+FA303</f>
        <v>87225.860329999996</v>
      </c>
      <c r="FB301" s="164"/>
      <c r="FC301" s="180">
        <f t="shared" si="656"/>
        <v>95761.976190000001</v>
      </c>
      <c r="FD301" s="163">
        <f>FD302+FD303</f>
        <v>95761.976190000001</v>
      </c>
      <c r="FE301" s="163"/>
      <c r="FF301" s="163"/>
      <c r="FG301" s="163">
        <f>FH301+FJ301</f>
        <v>10220.877309999996</v>
      </c>
      <c r="FH301" s="163">
        <f>FH302+FH303</f>
        <v>10220.877309999996</v>
      </c>
      <c r="FI301" s="163"/>
      <c r="FJ301" s="163">
        <f>FJ302+FJ303</f>
        <v>0</v>
      </c>
      <c r="FK301" s="163">
        <f>FL301+FN301</f>
        <v>0</v>
      </c>
      <c r="FL301" s="163">
        <f>FL302+FL303</f>
        <v>0</v>
      </c>
      <c r="FM301" s="163"/>
      <c r="FN301" s="163">
        <f>FN302+FN303</f>
        <v>0</v>
      </c>
      <c r="FO301" s="180">
        <f t="shared" si="676"/>
        <v>105982.8535</v>
      </c>
      <c r="FP301" s="163">
        <f>FP302+FP303</f>
        <v>105982.8535</v>
      </c>
      <c r="FQ301" s="163"/>
      <c r="FR301" s="163">
        <f>FR302+FR303</f>
        <v>0</v>
      </c>
      <c r="FS301" s="163">
        <f t="shared" si="684"/>
        <v>43108.721669999999</v>
      </c>
      <c r="FT301" s="577">
        <f t="shared" si="640"/>
        <v>0.45016533059498048</v>
      </c>
      <c r="FU301" s="163">
        <f>FU302+FU303</f>
        <v>43108.721669999999</v>
      </c>
      <c r="FV301" s="577">
        <f t="shared" si="641"/>
        <v>0.45016533059498048</v>
      </c>
      <c r="FW301" s="164"/>
      <c r="FX301" s="577"/>
      <c r="FY301" s="164"/>
      <c r="FZ301" s="672"/>
      <c r="GA301" s="163">
        <f t="shared" si="685"/>
        <v>43859.31005</v>
      </c>
      <c r="GB301" s="577">
        <f t="shared" si="677"/>
        <v>0.45800339336125806</v>
      </c>
      <c r="GC301" s="163">
        <f>GC302+GC303</f>
        <v>43859.31005</v>
      </c>
      <c r="GD301" s="577">
        <f t="shared" si="657"/>
        <v>0.45800339336125806</v>
      </c>
      <c r="GE301" s="164"/>
      <c r="GF301" s="577"/>
      <c r="GG301" s="163"/>
      <c r="GH301" s="577"/>
      <c r="GI301" s="163">
        <f t="shared" si="686"/>
        <v>76534.104739999995</v>
      </c>
      <c r="GJ301" s="577">
        <f t="shared" si="658"/>
        <v>0.79921183527112838</v>
      </c>
      <c r="GK301" s="163">
        <f>GK302+GK303</f>
        <v>76534.104739999995</v>
      </c>
      <c r="GL301" s="577">
        <f t="shared" si="659"/>
        <v>0.79921183527112838</v>
      </c>
      <c r="GM301" s="163"/>
      <c r="GN301" s="577"/>
      <c r="GO301" s="163"/>
      <c r="GP301" s="577"/>
      <c r="GQ301" s="164"/>
      <c r="GR301" s="164"/>
      <c r="GS301" s="164"/>
      <c r="GT301" s="164"/>
      <c r="GU301" s="181">
        <f t="shared" si="660"/>
        <v>5922.21227</v>
      </c>
      <c r="GV301" s="164">
        <f>GV302+GV303</f>
        <v>5922.21227</v>
      </c>
      <c r="GW301" s="164"/>
      <c r="GX301" s="164">
        <f>GX302+GX303</f>
        <v>0</v>
      </c>
      <c r="GY301" s="164"/>
      <c r="GZ301" s="164"/>
      <c r="HA301" s="164"/>
      <c r="HB301" s="164"/>
      <c r="HC301" s="164"/>
      <c r="HD301" s="164"/>
      <c r="HE301" s="164"/>
      <c r="HF301" s="164"/>
      <c r="HG301" s="181">
        <f t="shared" si="661"/>
        <v>0</v>
      </c>
      <c r="HH301" s="164">
        <f>HH302+HH303</f>
        <v>0</v>
      </c>
      <c r="HI301" s="164"/>
      <c r="HJ301" s="164">
        <f>HJ302+HJ303</f>
        <v>0</v>
      </c>
      <c r="HK301" s="181">
        <f t="shared" si="662"/>
        <v>0</v>
      </c>
      <c r="HL301" s="164">
        <f>HL302+HL303</f>
        <v>0</v>
      </c>
      <c r="HM301" s="164"/>
      <c r="HN301" s="164">
        <f>HN302+HN303</f>
        <v>0</v>
      </c>
      <c r="HO301" s="181">
        <f t="shared" si="678"/>
        <v>5922.21227</v>
      </c>
      <c r="HP301" s="164">
        <f>HP302+HP303</f>
        <v>5922.21227</v>
      </c>
      <c r="HQ301" s="164"/>
      <c r="HR301" s="164"/>
      <c r="HS301" s="181">
        <f t="shared" si="663"/>
        <v>0</v>
      </c>
      <c r="HT301" s="164">
        <f>HT302+HT303</f>
        <v>0</v>
      </c>
      <c r="HU301" s="164"/>
      <c r="HV301" s="164">
        <f>HV302+HV303</f>
        <v>0</v>
      </c>
      <c r="HW301" s="181">
        <f t="shared" si="664"/>
        <v>0</v>
      </c>
      <c r="HX301" s="164">
        <f>HX302+HX303</f>
        <v>0</v>
      </c>
      <c r="HY301" s="164"/>
      <c r="HZ301" s="164">
        <f>HZ302+HZ303</f>
        <v>0</v>
      </c>
      <c r="IA301" s="181">
        <f t="shared" si="665"/>
        <v>0</v>
      </c>
      <c r="IB301" s="164">
        <f>IB302+IB303</f>
        <v>0</v>
      </c>
      <c r="IC301" s="164"/>
      <c r="ID301" s="164">
        <f>ID302+ID303</f>
        <v>0</v>
      </c>
      <c r="IE301" s="326"/>
      <c r="IF301" s="170"/>
      <c r="IG301" s="170"/>
      <c r="IH301" s="170"/>
    </row>
    <row r="302" spans="2:249" s="171" customFormat="1" ht="38.25" hidden="1" customHeight="1" x14ac:dyDescent="0.25">
      <c r="B302" s="324"/>
      <c r="C302" s="164" t="s">
        <v>330</v>
      </c>
      <c r="D302" s="325"/>
      <c r="E302" s="164">
        <f>F302+G302</f>
        <v>14555.889209999999</v>
      </c>
      <c r="F302" s="164">
        <v>14555.889209999999</v>
      </c>
      <c r="G302" s="164"/>
      <c r="H302" s="164">
        <f>I302+J302</f>
        <v>-5835.4332599999998</v>
      </c>
      <c r="I302" s="164">
        <f>L302-F302</f>
        <v>-5835.4332599999998</v>
      </c>
      <c r="J302" s="164">
        <f>M302-G302</f>
        <v>0</v>
      </c>
      <c r="K302" s="164">
        <f>L302+M302</f>
        <v>8720.4559499999996</v>
      </c>
      <c r="L302" s="164">
        <v>8720.4559499999996</v>
      </c>
      <c r="M302" s="164"/>
      <c r="N302" s="164">
        <f>O302+P302</f>
        <v>0</v>
      </c>
      <c r="O302" s="164">
        <f>R302-L302</f>
        <v>0</v>
      </c>
      <c r="P302" s="164">
        <f>S302-M302</f>
        <v>0</v>
      </c>
      <c r="Q302" s="164">
        <f>R302+S302</f>
        <v>8720.4559499999996</v>
      </c>
      <c r="R302" s="164">
        <v>8720.4559499999996</v>
      </c>
      <c r="S302" s="164"/>
      <c r="T302" s="164">
        <f>U302+V302</f>
        <v>0</v>
      </c>
      <c r="U302" s="164"/>
      <c r="V302" s="164"/>
      <c r="W302" s="164">
        <f>X302+Y302</f>
        <v>0</v>
      </c>
      <c r="X302" s="164">
        <f>AA302-U302</f>
        <v>0</v>
      </c>
      <c r="Y302" s="164">
        <f>AB302-V302</f>
        <v>0</v>
      </c>
      <c r="Z302" s="164">
        <f>AA302+AB302</f>
        <v>0</v>
      </c>
      <c r="AA302" s="164">
        <v>0</v>
      </c>
      <c r="AB302" s="164"/>
      <c r="AC302" s="164">
        <f>AD302+AE302</f>
        <v>0</v>
      </c>
      <c r="AD302" s="164">
        <v>0</v>
      </c>
      <c r="AE302" s="164"/>
      <c r="AF302" s="164">
        <f>AG302+AH302</f>
        <v>0</v>
      </c>
      <c r="AG302" s="164">
        <v>0</v>
      </c>
      <c r="AH302" s="164"/>
      <c r="AI302" s="164"/>
      <c r="AJ302" s="164">
        <f>AA302</f>
        <v>0</v>
      </c>
      <c r="AK302" s="164">
        <f t="shared" ref="AK302:AL306" si="690">Z302-AJ302</f>
        <v>0</v>
      </c>
      <c r="AL302" s="164">
        <f t="shared" si="690"/>
        <v>0</v>
      </c>
      <c r="AM302" s="164"/>
      <c r="AN302" s="164"/>
      <c r="AO302" s="164">
        <v>1</v>
      </c>
      <c r="AP302" s="164"/>
      <c r="AQ302" s="164"/>
      <c r="AR302" s="164">
        <f>AF302-AP302</f>
        <v>0</v>
      </c>
      <c r="AS302" s="164">
        <f>AT302+AU302</f>
        <v>0</v>
      </c>
      <c r="AT302" s="164"/>
      <c r="AU302" s="164"/>
      <c r="AV302" s="164">
        <f>AW302+AX302</f>
        <v>0</v>
      </c>
      <c r="AW302" s="164">
        <f>AZ302-AT302</f>
        <v>0</v>
      </c>
      <c r="AX302" s="164">
        <f>BA302-AU302</f>
        <v>0</v>
      </c>
      <c r="AY302" s="164">
        <f>AZ302+BA302</f>
        <v>0</v>
      </c>
      <c r="AZ302" s="164"/>
      <c r="BA302" s="164"/>
      <c r="BB302" s="164">
        <f>BC302+BD302</f>
        <v>0</v>
      </c>
      <c r="BC302" s="164"/>
      <c r="BD302" s="164"/>
      <c r="BE302" s="164">
        <f>BF302+BG302</f>
        <v>0</v>
      </c>
      <c r="BF302" s="164">
        <f>BW302-BC302</f>
        <v>0</v>
      </c>
      <c r="BG302" s="164">
        <f>BX302-BD302</f>
        <v>0</v>
      </c>
      <c r="BH302" s="164">
        <f>BI302+BJ302</f>
        <v>0</v>
      </c>
      <c r="BI302" s="164"/>
      <c r="BJ302" s="164"/>
      <c r="BK302" s="164">
        <v>1</v>
      </c>
      <c r="BL302" s="164">
        <f t="shared" si="682"/>
        <v>0</v>
      </c>
      <c r="BM302" s="164"/>
      <c r="BN302" s="164"/>
      <c r="BO302" s="164"/>
      <c r="BP302" s="164"/>
      <c r="BQ302" s="164"/>
      <c r="BR302" s="164"/>
      <c r="BS302" s="164">
        <f>BT302+BU302</f>
        <v>0</v>
      </c>
      <c r="BT302" s="164">
        <v>0</v>
      </c>
      <c r="BU302" s="164"/>
      <c r="BV302" s="164">
        <f>BW302+BX302</f>
        <v>0</v>
      </c>
      <c r="BW302" s="164"/>
      <c r="BX302" s="164"/>
      <c r="BY302" s="164">
        <f>BZ302+CA302</f>
        <v>0</v>
      </c>
      <c r="BZ302" s="164">
        <f>CC302-BW302</f>
        <v>0</v>
      </c>
      <c r="CA302" s="164">
        <f>CD302-BX302</f>
        <v>0</v>
      </c>
      <c r="CB302" s="164">
        <f>CC302+CD302</f>
        <v>0</v>
      </c>
      <c r="CC302" s="164"/>
      <c r="CD302" s="164"/>
      <c r="CE302" s="164">
        <v>1</v>
      </c>
      <c r="CF302" s="164">
        <f t="shared" si="668"/>
        <v>0</v>
      </c>
      <c r="CG302" s="164"/>
      <c r="CH302" s="164">
        <f>CI302+CJ302</f>
        <v>0</v>
      </c>
      <c r="CI302" s="164"/>
      <c r="CJ302" s="164"/>
      <c r="CK302" s="164">
        <f>CL302+CM302</f>
        <v>0</v>
      </c>
      <c r="CL302" s="164">
        <f>CR302-CI302</f>
        <v>0</v>
      </c>
      <c r="CM302" s="164">
        <f>CS302-CJ302</f>
        <v>0</v>
      </c>
      <c r="CN302" s="164">
        <f>CO302+CP302</f>
        <v>0</v>
      </c>
      <c r="CO302" s="164">
        <f>II302-CL302</f>
        <v>0</v>
      </c>
      <c r="CP302" s="164">
        <f>IJ302-CM302</f>
        <v>0</v>
      </c>
      <c r="CQ302" s="164">
        <f>CR302+CS302</f>
        <v>0</v>
      </c>
      <c r="CR302" s="164"/>
      <c r="CS302" s="164"/>
      <c r="CT302" s="164">
        <f>CU302+CV302</f>
        <v>78590</v>
      </c>
      <c r="CU302" s="164">
        <f>128590-50000</f>
        <v>78590</v>
      </c>
      <c r="CV302" s="164"/>
      <c r="CW302" s="164">
        <f>CX302+CY302</f>
        <v>0</v>
      </c>
      <c r="CX302" s="164">
        <v>0</v>
      </c>
      <c r="CY302" s="164"/>
      <c r="CZ302" s="164">
        <f>DA302+DB302</f>
        <v>0</v>
      </c>
      <c r="DA302" s="164"/>
      <c r="DB302" s="164"/>
      <c r="DC302" s="164">
        <f>DD302</f>
        <v>0</v>
      </c>
      <c r="DD302" s="164">
        <f>DV302-DA302</f>
        <v>0</v>
      </c>
      <c r="DE302" s="164"/>
      <c r="DF302" s="164">
        <f>DG302+DH302</f>
        <v>0</v>
      </c>
      <c r="DG302" s="164"/>
      <c r="DH302" s="164"/>
      <c r="DI302" s="181">
        <f t="shared" si="637"/>
        <v>0</v>
      </c>
      <c r="DJ302" s="164">
        <f>CX302+DG302</f>
        <v>0</v>
      </c>
      <c r="DK302" s="164"/>
      <c r="DL302" s="164">
        <f>DM302+DN302</f>
        <v>0</v>
      </c>
      <c r="DM302" s="164">
        <f>DA302+DJ302</f>
        <v>0</v>
      </c>
      <c r="DN302" s="164"/>
      <c r="DO302" s="164">
        <f>DP302+DQ302</f>
        <v>0</v>
      </c>
      <c r="DP302" s="164">
        <v>0</v>
      </c>
      <c r="DQ302" s="164"/>
      <c r="DR302" s="164">
        <f>DS302+DT302</f>
        <v>0</v>
      </c>
      <c r="DS302" s="164">
        <f>DG302+DP302</f>
        <v>0</v>
      </c>
      <c r="DT302" s="164"/>
      <c r="DU302" s="164">
        <f t="shared" si="689"/>
        <v>0</v>
      </c>
      <c r="DV302" s="164">
        <v>0</v>
      </c>
      <c r="DW302" s="164"/>
      <c r="DX302" s="164">
        <f>DY302+DZ302</f>
        <v>0</v>
      </c>
      <c r="DY302" s="164"/>
      <c r="DZ302" s="164"/>
      <c r="EA302" s="164">
        <f>EB302+EC302</f>
        <v>0</v>
      </c>
      <c r="EB302" s="164">
        <f>EX302-DY302</f>
        <v>0</v>
      </c>
      <c r="EC302" s="164"/>
      <c r="ED302" s="181" t="e">
        <f>EE302+#REF!</f>
        <v>#REF!</v>
      </c>
      <c r="EE302" s="164">
        <f>EH302-DV302</f>
        <v>0</v>
      </c>
      <c r="EF302" s="164"/>
      <c r="EG302" s="181">
        <f t="shared" si="672"/>
        <v>0</v>
      </c>
      <c r="EH302" s="164">
        <v>0</v>
      </c>
      <c r="EI302" s="164"/>
      <c r="EJ302" s="164"/>
      <c r="EK302" s="164">
        <f>EL302+EN302</f>
        <v>0</v>
      </c>
      <c r="EL302" s="164"/>
      <c r="EM302" s="164"/>
      <c r="EN302" s="164"/>
      <c r="EO302" s="164">
        <f>EP302+ER302</f>
        <v>0</v>
      </c>
      <c r="EP302" s="164"/>
      <c r="EQ302" s="164"/>
      <c r="ER302" s="164"/>
      <c r="ES302" s="164">
        <f t="shared" si="687"/>
        <v>0</v>
      </c>
      <c r="ET302" s="164"/>
      <c r="EU302" s="164"/>
      <c r="EV302" s="164"/>
      <c r="EW302" s="164">
        <f>EX302+EY302</f>
        <v>0</v>
      </c>
      <c r="EX302" s="164">
        <v>0</v>
      </c>
      <c r="EY302" s="164">
        <v>0</v>
      </c>
      <c r="EZ302" s="181">
        <f t="shared" si="638"/>
        <v>0</v>
      </c>
      <c r="FA302" s="164">
        <f>FD302-EX302</f>
        <v>0</v>
      </c>
      <c r="FB302" s="164"/>
      <c r="FC302" s="180">
        <f t="shared" si="656"/>
        <v>0</v>
      </c>
      <c r="FD302" s="163">
        <v>0</v>
      </c>
      <c r="FE302" s="163"/>
      <c r="FF302" s="163"/>
      <c r="FG302" s="163">
        <f>FH302+FJ302</f>
        <v>0</v>
      </c>
      <c r="FH302" s="163">
        <f>FP302-FD302</f>
        <v>0</v>
      </c>
      <c r="FI302" s="163"/>
      <c r="FJ302" s="163"/>
      <c r="FK302" s="163">
        <f>FL302+FN302</f>
        <v>0</v>
      </c>
      <c r="FL302" s="163"/>
      <c r="FM302" s="163"/>
      <c r="FN302" s="163"/>
      <c r="FO302" s="180">
        <f t="shared" si="676"/>
        <v>0</v>
      </c>
      <c r="FP302" s="163">
        <v>0</v>
      </c>
      <c r="FQ302" s="163"/>
      <c r="FR302" s="163"/>
      <c r="FS302" s="163">
        <f t="shared" si="684"/>
        <v>0</v>
      </c>
      <c r="FT302" s="577" t="e">
        <f t="shared" si="640"/>
        <v>#DIV/0!</v>
      </c>
      <c r="FU302" s="163">
        <v>0</v>
      </c>
      <c r="FV302" s="577" t="e">
        <f t="shared" si="641"/>
        <v>#DIV/0!</v>
      </c>
      <c r="FW302" s="164"/>
      <c r="FX302" s="577"/>
      <c r="FY302" s="164"/>
      <c r="FZ302" s="672"/>
      <c r="GA302" s="163">
        <f t="shared" si="685"/>
        <v>0</v>
      </c>
      <c r="GB302" s="577" t="e">
        <f t="shared" si="677"/>
        <v>#DIV/0!</v>
      </c>
      <c r="GC302" s="163">
        <v>0</v>
      </c>
      <c r="GD302" s="577" t="e">
        <f t="shared" si="657"/>
        <v>#DIV/0!</v>
      </c>
      <c r="GE302" s="164"/>
      <c r="GF302" s="577"/>
      <c r="GG302" s="163"/>
      <c r="GH302" s="577"/>
      <c r="GI302" s="163">
        <f t="shared" si="686"/>
        <v>0</v>
      </c>
      <c r="GJ302" s="577" t="e">
        <f t="shared" si="658"/>
        <v>#DIV/0!</v>
      </c>
      <c r="GK302" s="163">
        <v>0</v>
      </c>
      <c r="GL302" s="577" t="e">
        <f t="shared" si="659"/>
        <v>#DIV/0!</v>
      </c>
      <c r="GM302" s="163"/>
      <c r="GN302" s="577"/>
      <c r="GO302" s="163"/>
      <c r="GP302" s="577"/>
      <c r="GQ302" s="164"/>
      <c r="GR302" s="164"/>
      <c r="GS302" s="164"/>
      <c r="GT302" s="164"/>
      <c r="GU302" s="181">
        <f t="shared" si="660"/>
        <v>0</v>
      </c>
      <c r="GV302" s="164">
        <v>0</v>
      </c>
      <c r="GW302" s="164"/>
      <c r="GX302" s="164"/>
      <c r="GY302" s="164"/>
      <c r="GZ302" s="164"/>
      <c r="HA302" s="164"/>
      <c r="HB302" s="164"/>
      <c r="HC302" s="164"/>
      <c r="HD302" s="164"/>
      <c r="HE302" s="164"/>
      <c r="HF302" s="164"/>
      <c r="HG302" s="181">
        <f t="shared" si="661"/>
        <v>0</v>
      </c>
      <c r="HH302" s="164">
        <f>HP302-GV302</f>
        <v>0</v>
      </c>
      <c r="HI302" s="164"/>
      <c r="HJ302" s="164"/>
      <c r="HK302" s="181">
        <f t="shared" si="662"/>
        <v>0</v>
      </c>
      <c r="HL302" s="164">
        <f>IF302-GZ302</f>
        <v>0</v>
      </c>
      <c r="HM302" s="164"/>
      <c r="HN302" s="164"/>
      <c r="HO302" s="181">
        <f t="shared" si="678"/>
        <v>0</v>
      </c>
      <c r="HP302" s="164">
        <f>GV302</f>
        <v>0</v>
      </c>
      <c r="HQ302" s="164"/>
      <c r="HR302" s="164"/>
      <c r="HS302" s="181">
        <f t="shared" si="663"/>
        <v>0</v>
      </c>
      <c r="HT302" s="164">
        <v>0</v>
      </c>
      <c r="HU302" s="164"/>
      <c r="HV302" s="164"/>
      <c r="HW302" s="181">
        <f t="shared" si="664"/>
        <v>0</v>
      </c>
      <c r="HX302" s="164">
        <f>IR302-HL302</f>
        <v>0</v>
      </c>
      <c r="HY302" s="164"/>
      <c r="HZ302" s="164"/>
      <c r="IA302" s="181">
        <f t="shared" si="665"/>
        <v>0</v>
      </c>
      <c r="IB302" s="164">
        <v>0</v>
      </c>
      <c r="IC302" s="164"/>
      <c r="ID302" s="164"/>
      <c r="IE302" s="326"/>
      <c r="IF302" s="170"/>
      <c r="IG302" s="170"/>
      <c r="IH302" s="170"/>
    </row>
    <row r="303" spans="2:249" s="171" customFormat="1" ht="39" hidden="1" customHeight="1" x14ac:dyDescent="0.25">
      <c r="B303" s="324"/>
      <c r="C303" s="164" t="s">
        <v>505</v>
      </c>
      <c r="D303" s="325"/>
      <c r="E303" s="164">
        <f>F303+G303</f>
        <v>236.16800000000001</v>
      </c>
      <c r="F303" s="164">
        <v>236.16800000000001</v>
      </c>
      <c r="G303" s="164"/>
      <c r="H303" s="164">
        <f>I303+J303</f>
        <v>0</v>
      </c>
      <c r="I303" s="164">
        <f>L303-F303</f>
        <v>0</v>
      </c>
      <c r="J303" s="164">
        <f>M303-G303</f>
        <v>0</v>
      </c>
      <c r="K303" s="164">
        <f>L303+M303</f>
        <v>236.16800000000001</v>
      </c>
      <c r="L303" s="164">
        <v>236.16800000000001</v>
      </c>
      <c r="M303" s="164"/>
      <c r="N303" s="164">
        <f>O303+P303</f>
        <v>0</v>
      </c>
      <c r="O303" s="164">
        <f>R303-L303</f>
        <v>0</v>
      </c>
      <c r="P303" s="164">
        <f>S303-M303</f>
        <v>0</v>
      </c>
      <c r="Q303" s="164">
        <f>R303+S303</f>
        <v>236.16800000000001</v>
      </c>
      <c r="R303" s="164">
        <v>236.16800000000001</v>
      </c>
      <c r="S303" s="164"/>
      <c r="T303" s="164">
        <f>U303+V303</f>
        <v>0</v>
      </c>
      <c r="U303" s="164"/>
      <c r="V303" s="164"/>
      <c r="W303" s="164">
        <f>X303+Y303</f>
        <v>26903.971130000002</v>
      </c>
      <c r="X303" s="164">
        <f>AA303-U303</f>
        <v>26903.971130000002</v>
      </c>
      <c r="Y303" s="164">
        <f>AB303-V303</f>
        <v>0</v>
      </c>
      <c r="Z303" s="164">
        <f>AA303+AB303</f>
        <v>26903.971130000002</v>
      </c>
      <c r="AA303" s="164">
        <v>26903.971130000002</v>
      </c>
      <c r="AB303" s="164"/>
      <c r="AC303" s="164">
        <f>AD303+AE303</f>
        <v>0</v>
      </c>
      <c r="AD303" s="164"/>
      <c r="AE303" s="164"/>
      <c r="AF303" s="164">
        <f>AG303+AH303</f>
        <v>26903.971130000002</v>
      </c>
      <c r="AG303" s="164">
        <f>AA303+AD303</f>
        <v>26903.971130000002</v>
      </c>
      <c r="AH303" s="164"/>
      <c r="AI303" s="164"/>
      <c r="AJ303" s="164">
        <f>AA303</f>
        <v>26903.971130000002</v>
      </c>
      <c r="AK303" s="164">
        <f t="shared" si="690"/>
        <v>0</v>
      </c>
      <c r="AL303" s="164">
        <f t="shared" si="690"/>
        <v>26903.971130000002</v>
      </c>
      <c r="AM303" s="164"/>
      <c r="AN303" s="164"/>
      <c r="AO303" s="164">
        <v>1</v>
      </c>
      <c r="AP303" s="164">
        <v>26903.971130000002</v>
      </c>
      <c r="AQ303" s="164"/>
      <c r="AR303" s="164">
        <f>AF303-AP303-AQ303</f>
        <v>0</v>
      </c>
      <c r="AS303" s="164">
        <f>AT303+AU303</f>
        <v>0</v>
      </c>
      <c r="AT303" s="164"/>
      <c r="AU303" s="164"/>
      <c r="AV303" s="164">
        <f>AW303+AX303</f>
        <v>0</v>
      </c>
      <c r="AW303" s="164">
        <f>AZ303-AT303</f>
        <v>0</v>
      </c>
      <c r="AX303" s="164">
        <f>BA303-AU303</f>
        <v>0</v>
      </c>
      <c r="AY303" s="164">
        <f>AZ303+BA303</f>
        <v>0</v>
      </c>
      <c r="AZ303" s="164"/>
      <c r="BA303" s="164"/>
      <c r="BB303" s="164">
        <f>BC303+BD303</f>
        <v>0</v>
      </c>
      <c r="BC303" s="164"/>
      <c r="BD303" s="164"/>
      <c r="BE303" s="164">
        <f>BF303+BG303</f>
        <v>0</v>
      </c>
      <c r="BF303" s="164">
        <f>BW303-BC303</f>
        <v>0</v>
      </c>
      <c r="BG303" s="164">
        <f>BX303-BD303</f>
        <v>0</v>
      </c>
      <c r="BH303" s="164">
        <f>BI303+BJ303</f>
        <v>0</v>
      </c>
      <c r="BI303" s="164"/>
      <c r="BJ303" s="164"/>
      <c r="BK303" s="164">
        <v>1</v>
      </c>
      <c r="BL303" s="164">
        <f t="shared" si="682"/>
        <v>0</v>
      </c>
      <c r="BM303" s="164"/>
      <c r="BN303" s="164"/>
      <c r="BO303" s="164"/>
      <c r="BP303" s="164"/>
      <c r="BQ303" s="164"/>
      <c r="BR303" s="164"/>
      <c r="BS303" s="164">
        <f>BT303+BU303</f>
        <v>0</v>
      </c>
      <c r="BT303" s="164">
        <v>0</v>
      </c>
      <c r="BU303" s="164"/>
      <c r="BV303" s="164">
        <f>BW303+BX303</f>
        <v>0</v>
      </c>
      <c r="BW303" s="164"/>
      <c r="BX303" s="164"/>
      <c r="BY303" s="164">
        <f>BZ303+CA303</f>
        <v>0</v>
      </c>
      <c r="BZ303" s="164">
        <f>CC303-BW303</f>
        <v>0</v>
      </c>
      <c r="CA303" s="164">
        <f>CD303-BX303</f>
        <v>0</v>
      </c>
      <c r="CB303" s="164">
        <f>CC303+CD303</f>
        <v>0</v>
      </c>
      <c r="CC303" s="164"/>
      <c r="CD303" s="164"/>
      <c r="CE303" s="164">
        <v>1</v>
      </c>
      <c r="CF303" s="164">
        <f t="shared" si="668"/>
        <v>0</v>
      </c>
      <c r="CG303" s="164"/>
      <c r="CH303" s="164">
        <f>CI303+CJ303</f>
        <v>0</v>
      </c>
      <c r="CI303" s="164"/>
      <c r="CJ303" s="164"/>
      <c r="CK303" s="164">
        <f>CL303+CM303</f>
        <v>0</v>
      </c>
      <c r="CL303" s="164">
        <f>CR303-CI303</f>
        <v>0</v>
      </c>
      <c r="CM303" s="164">
        <f>CS303-CJ303</f>
        <v>0</v>
      </c>
      <c r="CN303" s="164">
        <f>CO303+CP303</f>
        <v>0</v>
      </c>
      <c r="CO303" s="164">
        <f>II303-CL303</f>
        <v>0</v>
      </c>
      <c r="CP303" s="164">
        <f>IJ303-CM303</f>
        <v>0</v>
      </c>
      <c r="CQ303" s="164">
        <f>CR303+CS303</f>
        <v>0</v>
      </c>
      <c r="CR303" s="164"/>
      <c r="CS303" s="164"/>
      <c r="CT303" s="164">
        <f>CU303+CV303</f>
        <v>0</v>
      </c>
      <c r="CU303" s="164">
        <v>0</v>
      </c>
      <c r="CV303" s="164"/>
      <c r="CW303" s="164">
        <f>CX303+CY303</f>
        <v>14073.91511</v>
      </c>
      <c r="CX303" s="164">
        <v>14073.91511</v>
      </c>
      <c r="CY303" s="164"/>
      <c r="CZ303" s="164">
        <f>DA303+DB303</f>
        <v>0</v>
      </c>
      <c r="DA303" s="164"/>
      <c r="DB303" s="164"/>
      <c r="DC303" s="164">
        <f>DD303</f>
        <v>15541.021500000001</v>
      </c>
      <c r="DD303" s="164">
        <f>DV303-DA303</f>
        <v>15541.021500000001</v>
      </c>
      <c r="DE303" s="164"/>
      <c r="DF303" s="164">
        <f>DG303+DH303</f>
        <v>0</v>
      </c>
      <c r="DG303" s="164">
        <f>DJ303-CX303</f>
        <v>0</v>
      </c>
      <c r="DH303" s="164"/>
      <c r="DI303" s="181">
        <f t="shared" si="637"/>
        <v>14073.91511</v>
      </c>
      <c r="DJ303" s="164">
        <f>CX303:CX304</f>
        <v>14073.91511</v>
      </c>
      <c r="DK303" s="164"/>
      <c r="DL303" s="164">
        <f>DM303+DN303</f>
        <v>2925.9151099999999</v>
      </c>
      <c r="DM303" s="164">
        <f>2063.15711+862.758</f>
        <v>2925.9151099999999</v>
      </c>
      <c r="DN303" s="164"/>
      <c r="DO303" s="164">
        <f>DP303+DQ303</f>
        <v>0</v>
      </c>
      <c r="DP303" s="164">
        <v>0</v>
      </c>
      <c r="DQ303" s="164"/>
      <c r="DR303" s="164">
        <f>DS303+DT303</f>
        <v>11148</v>
      </c>
      <c r="DS303" s="164">
        <f>DJ303-DM303-DP303</f>
        <v>11148</v>
      </c>
      <c r="DT303" s="164"/>
      <c r="DU303" s="164">
        <f t="shared" si="689"/>
        <v>15541.021500000001</v>
      </c>
      <c r="DV303" s="164">
        <v>15541.021500000001</v>
      </c>
      <c r="DW303" s="164"/>
      <c r="DX303" s="164">
        <f>DY303+DZ303</f>
        <v>0</v>
      </c>
      <c r="DY303" s="164"/>
      <c r="DZ303" s="164"/>
      <c r="EA303" s="164"/>
      <c r="EB303" s="164"/>
      <c r="EC303" s="164"/>
      <c r="ED303" s="181" t="e">
        <f>EE303+#REF!</f>
        <v>#REF!</v>
      </c>
      <c r="EE303" s="164">
        <f>EH303-DV303</f>
        <v>63539.100630000001</v>
      </c>
      <c r="EF303" s="164"/>
      <c r="EG303" s="181">
        <f t="shared" si="672"/>
        <v>79080.122130000003</v>
      </c>
      <c r="EH303" s="164">
        <v>79080.122130000003</v>
      </c>
      <c r="EI303" s="164"/>
      <c r="EJ303" s="164"/>
      <c r="EK303" s="164">
        <f>EL303+EN303</f>
        <v>-79080.122130000003</v>
      </c>
      <c r="EL303" s="164">
        <f>ET303-EH303</f>
        <v>-79080.122130000003</v>
      </c>
      <c r="EM303" s="164"/>
      <c r="EN303" s="164"/>
      <c r="EO303" s="164">
        <f>EP303+ER303</f>
        <v>0</v>
      </c>
      <c r="EP303" s="164">
        <v>0</v>
      </c>
      <c r="EQ303" s="164"/>
      <c r="ER303" s="164"/>
      <c r="ES303" s="164">
        <f t="shared" si="687"/>
        <v>0</v>
      </c>
      <c r="ET303" s="164"/>
      <c r="EU303" s="164"/>
      <c r="EV303" s="164"/>
      <c r="EW303" s="164">
        <f>EX303+EY303</f>
        <v>8536.1158599999999</v>
      </c>
      <c r="EX303" s="164">
        <v>8536.1158599999999</v>
      </c>
      <c r="EY303" s="164"/>
      <c r="EZ303" s="181">
        <f t="shared" si="638"/>
        <v>87225.860329999996</v>
      </c>
      <c r="FA303" s="164">
        <f>FD303-EX303</f>
        <v>87225.860329999996</v>
      </c>
      <c r="FB303" s="164"/>
      <c r="FC303" s="180">
        <f t="shared" si="656"/>
        <v>95761.976190000001</v>
      </c>
      <c r="FD303" s="163">
        <f>'[13]Распределение средств июль 21'!$H$258</f>
        <v>95761.976190000001</v>
      </c>
      <c r="FE303" s="163"/>
      <c r="FF303" s="163"/>
      <c r="FG303" s="163">
        <f>FH303+FJ303</f>
        <v>10220.877309999996</v>
      </c>
      <c r="FH303" s="163">
        <f>FP303-FD303</f>
        <v>10220.877309999996</v>
      </c>
      <c r="FI303" s="163"/>
      <c r="FJ303" s="163"/>
      <c r="FK303" s="163">
        <f>FL303+FN303</f>
        <v>0</v>
      </c>
      <c r="FL303" s="163">
        <v>0</v>
      </c>
      <c r="FM303" s="163"/>
      <c r="FN303" s="163"/>
      <c r="FO303" s="180">
        <f t="shared" si="676"/>
        <v>105982.8535</v>
      </c>
      <c r="FP303" s="163">
        <f>FD303+9665.11859+555.75872</f>
        <v>105982.8535</v>
      </c>
      <c r="FQ303" s="163"/>
      <c r="FR303" s="163"/>
      <c r="FS303" s="163">
        <f t="shared" si="684"/>
        <v>43108.721669999999</v>
      </c>
      <c r="FT303" s="577">
        <f t="shared" si="640"/>
        <v>0.45016533059498048</v>
      </c>
      <c r="FU303" s="163">
        <v>43108.721669999999</v>
      </c>
      <c r="FV303" s="577">
        <f t="shared" si="641"/>
        <v>0.45016533059498048</v>
      </c>
      <c r="FW303" s="164"/>
      <c r="FX303" s="577"/>
      <c r="FY303" s="164"/>
      <c r="FZ303" s="672"/>
      <c r="GA303" s="163">
        <f t="shared" si="685"/>
        <v>43859.31005</v>
      </c>
      <c r="GB303" s="577">
        <f t="shared" si="677"/>
        <v>0.45800339336125806</v>
      </c>
      <c r="GC303" s="163">
        <v>43859.31005</v>
      </c>
      <c r="GD303" s="577">
        <f t="shared" si="657"/>
        <v>0.45800339336125806</v>
      </c>
      <c r="GE303" s="164"/>
      <c r="GF303" s="577"/>
      <c r="GG303" s="163"/>
      <c r="GH303" s="577"/>
      <c r="GI303" s="163">
        <f t="shared" si="686"/>
        <v>76534.104739999995</v>
      </c>
      <c r="GJ303" s="577">
        <f t="shared" si="658"/>
        <v>0.79921183527112838</v>
      </c>
      <c r="GK303" s="163">
        <v>76534.104739999995</v>
      </c>
      <c r="GL303" s="577">
        <f t="shared" si="659"/>
        <v>0.79921183527112838</v>
      </c>
      <c r="GM303" s="163"/>
      <c r="GN303" s="577"/>
      <c r="GO303" s="163"/>
      <c r="GP303" s="577"/>
      <c r="GQ303" s="164"/>
      <c r="GR303" s="164"/>
      <c r="GS303" s="164"/>
      <c r="GT303" s="164"/>
      <c r="GU303" s="181">
        <f t="shared" si="660"/>
        <v>5922.21227</v>
      </c>
      <c r="GV303" s="164">
        <v>5922.21227</v>
      </c>
      <c r="GW303" s="164"/>
      <c r="GX303" s="164"/>
      <c r="GY303" s="164"/>
      <c r="GZ303" s="164"/>
      <c r="HA303" s="164"/>
      <c r="HB303" s="164"/>
      <c r="HC303" s="164"/>
      <c r="HD303" s="164"/>
      <c r="HE303" s="164"/>
      <c r="HF303" s="164"/>
      <c r="HG303" s="181">
        <f t="shared" si="661"/>
        <v>0</v>
      </c>
      <c r="HH303" s="164">
        <f>HP303-GV303</f>
        <v>0</v>
      </c>
      <c r="HI303" s="164"/>
      <c r="HJ303" s="164"/>
      <c r="HK303" s="181">
        <f t="shared" si="662"/>
        <v>0</v>
      </c>
      <c r="HL303" s="164">
        <f>IF303-GZ303</f>
        <v>0</v>
      </c>
      <c r="HM303" s="164"/>
      <c r="HN303" s="164"/>
      <c r="HO303" s="180">
        <f t="shared" si="678"/>
        <v>5922.21227</v>
      </c>
      <c r="HP303" s="164">
        <f>GV303</f>
        <v>5922.21227</v>
      </c>
      <c r="HQ303" s="164"/>
      <c r="HR303" s="164"/>
      <c r="HS303" s="181">
        <f t="shared" si="663"/>
        <v>0</v>
      </c>
      <c r="HT303" s="164">
        <v>0</v>
      </c>
      <c r="HU303" s="164"/>
      <c r="HV303" s="164"/>
      <c r="HW303" s="181">
        <f t="shared" si="664"/>
        <v>0</v>
      </c>
      <c r="HX303" s="164">
        <f>IR303-HL303</f>
        <v>0</v>
      </c>
      <c r="HY303" s="164"/>
      <c r="HZ303" s="164"/>
      <c r="IA303" s="181">
        <f t="shared" si="665"/>
        <v>0</v>
      </c>
      <c r="IB303" s="164">
        <v>0</v>
      </c>
      <c r="IC303" s="164"/>
      <c r="ID303" s="164"/>
      <c r="IE303" s="326"/>
      <c r="IF303" s="170"/>
      <c r="IG303" s="170"/>
      <c r="IH303" s="170"/>
    </row>
    <row r="304" spans="2:249" s="171" customFormat="1" ht="28.5" hidden="1" customHeight="1" x14ac:dyDescent="0.25">
      <c r="B304" s="324"/>
      <c r="C304" s="266" t="s">
        <v>400</v>
      </c>
      <c r="D304" s="325"/>
      <c r="E304" s="164">
        <f>F304</f>
        <v>3570.0038300000001</v>
      </c>
      <c r="F304" s="164">
        <f>F305</f>
        <v>3570.0038300000001</v>
      </c>
      <c r="G304" s="164"/>
      <c r="H304" s="164">
        <f>I304</f>
        <v>5835.4332599999998</v>
      </c>
      <c r="I304" s="164">
        <f>I305</f>
        <v>5835.4332599999998</v>
      </c>
      <c r="J304" s="164"/>
      <c r="K304" s="164">
        <f>L304</f>
        <v>9405.4370899999994</v>
      </c>
      <c r="L304" s="164">
        <f>L305</f>
        <v>9405.4370899999994</v>
      </c>
      <c r="M304" s="164"/>
      <c r="N304" s="164">
        <f>O304</f>
        <v>0</v>
      </c>
      <c r="O304" s="164">
        <f>O305</f>
        <v>0</v>
      </c>
      <c r="P304" s="164"/>
      <c r="Q304" s="164">
        <f>R304</f>
        <v>9405.4370899999994</v>
      </c>
      <c r="R304" s="164">
        <f>R305</f>
        <v>9405.4370899999994</v>
      </c>
      <c r="S304" s="164"/>
      <c r="T304" s="164">
        <f>U304</f>
        <v>0</v>
      </c>
      <c r="U304" s="164">
        <f>U305</f>
        <v>0</v>
      </c>
      <c r="V304" s="164"/>
      <c r="W304" s="164">
        <f>X304</f>
        <v>26746.553980000001</v>
      </c>
      <c r="X304" s="164">
        <f>X305</f>
        <v>26746.553980000001</v>
      </c>
      <c r="Y304" s="164"/>
      <c r="Z304" s="164">
        <f>AA304</f>
        <v>26746.553980000001</v>
      </c>
      <c r="AA304" s="164">
        <f>AA305</f>
        <v>26746.553980000001</v>
      </c>
      <c r="AB304" s="164"/>
      <c r="AC304" s="164">
        <f>AD304</f>
        <v>0</v>
      </c>
      <c r="AD304" s="164">
        <f>AD305</f>
        <v>0</v>
      </c>
      <c r="AE304" s="164"/>
      <c r="AF304" s="164">
        <f>AG304</f>
        <v>26746.553980000001</v>
      </c>
      <c r="AG304" s="164">
        <f>AG305</f>
        <v>26746.553980000001</v>
      </c>
      <c r="AH304" s="164"/>
      <c r="AI304" s="164"/>
      <c r="AJ304" s="164"/>
      <c r="AK304" s="164">
        <f t="shared" si="690"/>
        <v>26746.553980000001</v>
      </c>
      <c r="AL304" s="164">
        <f t="shared" si="690"/>
        <v>0</v>
      </c>
      <c r="AM304" s="164"/>
      <c r="AN304" s="164"/>
      <c r="AO304" s="164">
        <v>1</v>
      </c>
      <c r="AP304" s="164"/>
      <c r="AQ304" s="164"/>
      <c r="AR304" s="164">
        <f>AF304-AP304</f>
        <v>26746.553980000001</v>
      </c>
      <c r="AS304" s="164">
        <f>AT304</f>
        <v>2000</v>
      </c>
      <c r="AT304" s="164">
        <f>AT305+AT306</f>
        <v>2000</v>
      </c>
      <c r="AU304" s="164"/>
      <c r="AV304" s="164">
        <f>AV305+AV306</f>
        <v>-2000</v>
      </c>
      <c r="AW304" s="164">
        <f>AW305+AW306</f>
        <v>-2000</v>
      </c>
      <c r="AX304" s="164">
        <v>0</v>
      </c>
      <c r="AY304" s="164">
        <f>AZ304</f>
        <v>0</v>
      </c>
      <c r="AZ304" s="164">
        <f>AZ305+AZ306</f>
        <v>0</v>
      </c>
      <c r="BA304" s="164"/>
      <c r="BB304" s="164">
        <f>BC304</f>
        <v>0</v>
      </c>
      <c r="BC304" s="164">
        <f>BC305</f>
        <v>0</v>
      </c>
      <c r="BD304" s="164"/>
      <c r="BE304" s="164">
        <f>BF304</f>
        <v>0</v>
      </c>
      <c r="BF304" s="164">
        <f>BF305</f>
        <v>0</v>
      </c>
      <c r="BG304" s="164"/>
      <c r="BH304" s="164">
        <f>BI304</f>
        <v>0</v>
      </c>
      <c r="BI304" s="164">
        <f>BI305+BI306</f>
        <v>0</v>
      </c>
      <c r="BJ304" s="164"/>
      <c r="BK304" s="164">
        <v>1</v>
      </c>
      <c r="BL304" s="164">
        <f t="shared" si="682"/>
        <v>0</v>
      </c>
      <c r="BM304" s="164"/>
      <c r="BN304" s="164"/>
      <c r="BO304" s="164"/>
      <c r="BP304" s="164"/>
      <c r="BQ304" s="164"/>
      <c r="BR304" s="164"/>
      <c r="BS304" s="164">
        <f>BT304</f>
        <v>0</v>
      </c>
      <c r="BT304" s="164">
        <f>BT305+BT306</f>
        <v>0</v>
      </c>
      <c r="BU304" s="164"/>
      <c r="BV304" s="164">
        <f>BW304</f>
        <v>0</v>
      </c>
      <c r="BW304" s="164">
        <f>BW305</f>
        <v>0</v>
      </c>
      <c r="BX304" s="164"/>
      <c r="BY304" s="164">
        <f>BZ304</f>
        <v>0</v>
      </c>
      <c r="BZ304" s="164">
        <f>BZ305</f>
        <v>0</v>
      </c>
      <c r="CA304" s="164"/>
      <c r="CB304" s="164">
        <f>CC304</f>
        <v>0</v>
      </c>
      <c r="CC304" s="164">
        <f>CC305</f>
        <v>0</v>
      </c>
      <c r="CD304" s="164"/>
      <c r="CE304" s="164">
        <v>1</v>
      </c>
      <c r="CF304" s="164">
        <f t="shared" si="668"/>
        <v>0</v>
      </c>
      <c r="CG304" s="164"/>
      <c r="CH304" s="164">
        <f>CI304</f>
        <v>2000</v>
      </c>
      <c r="CI304" s="164">
        <f>CI305+CI306</f>
        <v>2000</v>
      </c>
      <c r="CJ304" s="164"/>
      <c r="CK304" s="164">
        <f>CK305+CK306</f>
        <v>-2000</v>
      </c>
      <c r="CL304" s="164">
        <f>CL305+CL306</f>
        <v>-2000</v>
      </c>
      <c r="CM304" s="164">
        <v>0</v>
      </c>
      <c r="CN304" s="164">
        <f>CN305+CN306</f>
        <v>2000</v>
      </c>
      <c r="CO304" s="164">
        <f>CO305+CO306</f>
        <v>2000</v>
      </c>
      <c r="CP304" s="164">
        <v>0</v>
      </c>
      <c r="CQ304" s="164">
        <f>CR304</f>
        <v>0</v>
      </c>
      <c r="CR304" s="164"/>
      <c r="CS304" s="164"/>
      <c r="CT304" s="164">
        <f>CU304</f>
        <v>0</v>
      </c>
      <c r="CU304" s="164">
        <f>CU305</f>
        <v>0</v>
      </c>
      <c r="CV304" s="164"/>
      <c r="CW304" s="164">
        <f>CX304</f>
        <v>0</v>
      </c>
      <c r="CX304" s="164">
        <f>CX305</f>
        <v>0</v>
      </c>
      <c r="CY304" s="164"/>
      <c r="CZ304" s="164">
        <f>DA304</f>
        <v>0</v>
      </c>
      <c r="DA304" s="164">
        <f>DA305+DA306</f>
        <v>0</v>
      </c>
      <c r="DB304" s="164"/>
      <c r="DC304" s="164"/>
      <c r="DD304" s="164"/>
      <c r="DE304" s="164"/>
      <c r="DF304" s="164">
        <f>DG304</f>
        <v>0</v>
      </c>
      <c r="DG304" s="164">
        <f>DG305</f>
        <v>0</v>
      </c>
      <c r="DH304" s="164"/>
      <c r="DI304" s="181">
        <f t="shared" si="637"/>
        <v>0</v>
      </c>
      <c r="DJ304" s="164">
        <f>CX304+DG304</f>
        <v>0</v>
      </c>
      <c r="DK304" s="164"/>
      <c r="DL304" s="164">
        <f>DM304</f>
        <v>0</v>
      </c>
      <c r="DM304" s="164">
        <f>DA304+DJ304</f>
        <v>0</v>
      </c>
      <c r="DN304" s="164"/>
      <c r="DO304" s="164">
        <f>DP304</f>
        <v>0</v>
      </c>
      <c r="DP304" s="164">
        <f>DD304+DM304</f>
        <v>0</v>
      </c>
      <c r="DQ304" s="164"/>
      <c r="DR304" s="164">
        <f>DS304</f>
        <v>0</v>
      </c>
      <c r="DS304" s="164">
        <f>DJ304-DM304-DP304</f>
        <v>0</v>
      </c>
      <c r="DT304" s="164"/>
      <c r="DU304" s="164">
        <f t="shared" si="689"/>
        <v>0</v>
      </c>
      <c r="DV304" s="164"/>
      <c r="DW304" s="164"/>
      <c r="DX304" s="164">
        <f>DY304</f>
        <v>0</v>
      </c>
      <c r="DY304" s="164">
        <f>DY305+DY306</f>
        <v>0</v>
      </c>
      <c r="DZ304" s="164"/>
      <c r="EA304" s="164"/>
      <c r="EB304" s="164"/>
      <c r="EC304" s="164"/>
      <c r="ED304" s="181" t="e">
        <f>EE304+#REF!</f>
        <v>#REF!</v>
      </c>
      <c r="EE304" s="164"/>
      <c r="EF304" s="164"/>
      <c r="EG304" s="181">
        <f t="shared" si="672"/>
        <v>320000</v>
      </c>
      <c r="EH304" s="164">
        <f>EH305+EH306</f>
        <v>320000</v>
      </c>
      <c r="EI304" s="164"/>
      <c r="EJ304" s="164"/>
      <c r="EK304" s="164">
        <f>EL304</f>
        <v>-320000</v>
      </c>
      <c r="EL304" s="164">
        <f>EL305+EL306</f>
        <v>-320000</v>
      </c>
      <c r="EM304" s="164"/>
      <c r="EN304" s="164"/>
      <c r="EO304" s="164">
        <f>EP304</f>
        <v>0</v>
      </c>
      <c r="EP304" s="164">
        <f>EP305+EP306</f>
        <v>0</v>
      </c>
      <c r="EQ304" s="164"/>
      <c r="ER304" s="164"/>
      <c r="ES304" s="164">
        <f>ET304</f>
        <v>0</v>
      </c>
      <c r="ET304" s="164">
        <f>ET305+ET306</f>
        <v>0</v>
      </c>
      <c r="EU304" s="164"/>
      <c r="EV304" s="164"/>
      <c r="EW304" s="164">
        <f>EX304</f>
        <v>638.27878999999996</v>
      </c>
      <c r="EX304" s="164">
        <f>EX305+EX306</f>
        <v>638.27878999999996</v>
      </c>
      <c r="EY304" s="164"/>
      <c r="EZ304" s="181">
        <f t="shared" si="638"/>
        <v>0</v>
      </c>
      <c r="FA304" s="164"/>
      <c r="FB304" s="164"/>
      <c r="FC304" s="180">
        <f t="shared" si="656"/>
        <v>344962.97548000002</v>
      </c>
      <c r="FD304" s="163">
        <f>FD305+FD306</f>
        <v>344962.97548000002</v>
      </c>
      <c r="FE304" s="163"/>
      <c r="FF304" s="163"/>
      <c r="FG304" s="163">
        <f>FH304</f>
        <v>15200.915670000004</v>
      </c>
      <c r="FH304" s="163">
        <f>FH305+FH306</f>
        <v>15200.915670000004</v>
      </c>
      <c r="FI304" s="163"/>
      <c r="FJ304" s="163"/>
      <c r="FK304" s="163">
        <f>FL304</f>
        <v>6000</v>
      </c>
      <c r="FL304" s="163">
        <f>FL305+FL306</f>
        <v>6000</v>
      </c>
      <c r="FM304" s="163"/>
      <c r="FN304" s="163"/>
      <c r="FO304" s="180">
        <f t="shared" si="676"/>
        <v>360163.89115000004</v>
      </c>
      <c r="FP304" s="163">
        <f>FP305+FP306</f>
        <v>360163.89115000004</v>
      </c>
      <c r="FQ304" s="163"/>
      <c r="FR304" s="163"/>
      <c r="FS304" s="163">
        <f>FU304</f>
        <v>33839.826979999998</v>
      </c>
      <c r="FT304" s="577">
        <f t="shared" si="640"/>
        <v>9.809698253243973E-2</v>
      </c>
      <c r="FU304" s="163">
        <f>FU305+FU306</f>
        <v>33839.826979999998</v>
      </c>
      <c r="FV304" s="577">
        <f t="shared" si="641"/>
        <v>9.809698253243973E-2</v>
      </c>
      <c r="FW304" s="164"/>
      <c r="FX304" s="577"/>
      <c r="FY304" s="164"/>
      <c r="FZ304" s="672"/>
      <c r="GA304" s="163">
        <f>GC304</f>
        <v>34006.970659999999</v>
      </c>
      <c r="GB304" s="577">
        <f>GA304/FC304</f>
        <v>9.8581508965363232E-2</v>
      </c>
      <c r="GC304" s="163">
        <f>GC305+GC306</f>
        <v>34006.970659999999</v>
      </c>
      <c r="GD304" s="577">
        <f t="shared" si="657"/>
        <v>9.8581508965363232E-2</v>
      </c>
      <c r="GE304" s="164"/>
      <c r="GF304" s="577"/>
      <c r="GG304" s="163"/>
      <c r="GH304" s="577"/>
      <c r="GI304" s="163">
        <f>GK304</f>
        <v>43257.646540000002</v>
      </c>
      <c r="GJ304" s="577">
        <f t="shared" si="658"/>
        <v>0.12539794011171485</v>
      </c>
      <c r="GK304" s="163">
        <f>GK305+GK306</f>
        <v>43257.646540000002</v>
      </c>
      <c r="GL304" s="577">
        <f t="shared" si="659"/>
        <v>0.12539794011171485</v>
      </c>
      <c r="GM304" s="163"/>
      <c r="GN304" s="577"/>
      <c r="GO304" s="163"/>
      <c r="GP304" s="577"/>
      <c r="GQ304" s="164"/>
      <c r="GR304" s="164"/>
      <c r="GS304" s="164"/>
      <c r="GT304" s="164"/>
      <c r="GU304" s="181">
        <f t="shared" si="660"/>
        <v>160000</v>
      </c>
      <c r="GV304" s="164">
        <f>GV305+GV306</f>
        <v>160000</v>
      </c>
      <c r="GW304" s="164"/>
      <c r="GX304" s="164"/>
      <c r="GY304" s="164"/>
      <c r="GZ304" s="164"/>
      <c r="HA304" s="164"/>
      <c r="HB304" s="164"/>
      <c r="HC304" s="164"/>
      <c r="HD304" s="164"/>
      <c r="HE304" s="164"/>
      <c r="HF304" s="164"/>
      <c r="HG304" s="181">
        <f t="shared" si="661"/>
        <v>0</v>
      </c>
      <c r="HH304" s="164">
        <f>HH305+HH306</f>
        <v>0</v>
      </c>
      <c r="HI304" s="164"/>
      <c r="HJ304" s="164"/>
      <c r="HK304" s="181">
        <f t="shared" si="662"/>
        <v>0</v>
      </c>
      <c r="HL304" s="164">
        <f>HL305+HL306</f>
        <v>0</v>
      </c>
      <c r="HM304" s="164"/>
      <c r="HN304" s="164"/>
      <c r="HO304" s="181">
        <f t="shared" si="678"/>
        <v>160000</v>
      </c>
      <c r="HP304" s="164">
        <f>HP305+HP306</f>
        <v>160000</v>
      </c>
      <c r="HQ304" s="164"/>
      <c r="HR304" s="164"/>
      <c r="HS304" s="181">
        <f t="shared" si="663"/>
        <v>0</v>
      </c>
      <c r="HT304" s="164">
        <f>HT305+HT306</f>
        <v>0</v>
      </c>
      <c r="HU304" s="164"/>
      <c r="HV304" s="164"/>
      <c r="HW304" s="181">
        <f t="shared" si="664"/>
        <v>0</v>
      </c>
      <c r="HX304" s="164">
        <f>HX305+HX306</f>
        <v>0</v>
      </c>
      <c r="HY304" s="164"/>
      <c r="HZ304" s="164"/>
      <c r="IA304" s="181">
        <f t="shared" si="665"/>
        <v>0</v>
      </c>
      <c r="IB304" s="164">
        <f>IB305+IB306</f>
        <v>0</v>
      </c>
      <c r="IC304" s="164"/>
      <c r="ID304" s="164"/>
      <c r="IE304" s="326"/>
      <c r="IF304" s="170"/>
      <c r="IG304" s="170"/>
      <c r="IH304" s="170"/>
    </row>
    <row r="305" spans="2:242" s="171" customFormat="1" ht="26.25" hidden="1" customHeight="1" x14ac:dyDescent="0.25">
      <c r="B305" s="324"/>
      <c r="C305" s="164" t="s">
        <v>396</v>
      </c>
      <c r="D305" s="325"/>
      <c r="E305" s="164">
        <f t="shared" ref="E305:E319" si="691">F305+G305</f>
        <v>3570.0038300000001</v>
      </c>
      <c r="F305" s="164">
        <v>3570.0038300000001</v>
      </c>
      <c r="G305" s="164"/>
      <c r="H305" s="164">
        <f t="shared" ref="H305:H319" si="692">I305+J305</f>
        <v>5835.4332599999998</v>
      </c>
      <c r="I305" s="164">
        <f>L305-F305</f>
        <v>5835.4332599999998</v>
      </c>
      <c r="J305" s="164">
        <f>M305-G305</f>
        <v>0</v>
      </c>
      <c r="K305" s="164">
        <f t="shared" ref="K305:K319" si="693">L305+M305</f>
        <v>9405.4370899999994</v>
      </c>
      <c r="L305" s="164">
        <v>9405.4370899999994</v>
      </c>
      <c r="M305" s="164"/>
      <c r="N305" s="164">
        <f t="shared" ref="N305:N319" si="694">O305+P305</f>
        <v>0</v>
      </c>
      <c r="O305" s="164">
        <f>R305-L305</f>
        <v>0</v>
      </c>
      <c r="P305" s="164">
        <f>S305-M305</f>
        <v>0</v>
      </c>
      <c r="Q305" s="164">
        <f t="shared" ref="Q305:Q319" si="695">R305+S305</f>
        <v>9405.4370899999994</v>
      </c>
      <c r="R305" s="164">
        <v>9405.4370899999994</v>
      </c>
      <c r="S305" s="164"/>
      <c r="T305" s="164">
        <f t="shared" ref="T305:T319" si="696">U305+V305</f>
        <v>0</v>
      </c>
      <c r="U305" s="164"/>
      <c r="V305" s="164"/>
      <c r="W305" s="164">
        <f t="shared" ref="W305:W319" si="697">X305+Y305</f>
        <v>26746.553980000001</v>
      </c>
      <c r="X305" s="164">
        <f>AA305-U305</f>
        <v>26746.553980000001</v>
      </c>
      <c r="Y305" s="164">
        <f>AB305-V305</f>
        <v>0</v>
      </c>
      <c r="Z305" s="164">
        <f>AA305+AB305</f>
        <v>26746.553980000001</v>
      </c>
      <c r="AA305" s="164">
        <v>26746.553980000001</v>
      </c>
      <c r="AB305" s="164"/>
      <c r="AC305" s="164">
        <f>AD305+AE305</f>
        <v>0</v>
      </c>
      <c r="AD305" s="164"/>
      <c r="AE305" s="164"/>
      <c r="AF305" s="164">
        <f>AG305+AH305</f>
        <v>26746.553980000001</v>
      </c>
      <c r="AG305" s="164">
        <f>AA305+AD305</f>
        <v>26746.553980000001</v>
      </c>
      <c r="AH305" s="164"/>
      <c r="AI305" s="164"/>
      <c r="AJ305" s="164"/>
      <c r="AK305" s="164">
        <f t="shared" si="690"/>
        <v>26746.553980000001</v>
      </c>
      <c r="AL305" s="164">
        <f t="shared" si="690"/>
        <v>0</v>
      </c>
      <c r="AM305" s="164"/>
      <c r="AN305" s="164"/>
      <c r="AO305" s="164">
        <v>1</v>
      </c>
      <c r="AP305" s="164"/>
      <c r="AQ305" s="164"/>
      <c r="AR305" s="164">
        <f>AF305-AP305</f>
        <v>26746.553980000001</v>
      </c>
      <c r="AS305" s="164">
        <f>AT305+AU305</f>
        <v>0</v>
      </c>
      <c r="AT305" s="164"/>
      <c r="AU305" s="164"/>
      <c r="AV305" s="164">
        <f>AW305+AX305</f>
        <v>0</v>
      </c>
      <c r="AW305" s="164">
        <f>AZ305-AT305</f>
        <v>0</v>
      </c>
      <c r="AX305" s="164">
        <f>BA305-AU305</f>
        <v>0</v>
      </c>
      <c r="AY305" s="164">
        <f>AZ305+BA305</f>
        <v>0</v>
      </c>
      <c r="AZ305" s="164">
        <v>0</v>
      </c>
      <c r="BA305" s="164"/>
      <c r="BB305" s="164">
        <f>BC305+BD305</f>
        <v>0</v>
      </c>
      <c r="BC305" s="164"/>
      <c r="BD305" s="164"/>
      <c r="BE305" s="164">
        <f>BF305+BG305</f>
        <v>0</v>
      </c>
      <c r="BF305" s="164">
        <f>BW305-BC305</f>
        <v>0</v>
      </c>
      <c r="BG305" s="164">
        <f>BX305-BD305</f>
        <v>0</v>
      </c>
      <c r="BH305" s="164">
        <f>BI305+BJ305</f>
        <v>0</v>
      </c>
      <c r="BI305" s="164">
        <v>0</v>
      </c>
      <c r="BJ305" s="164"/>
      <c r="BK305" s="164">
        <v>1</v>
      </c>
      <c r="BL305" s="164">
        <f t="shared" si="682"/>
        <v>0</v>
      </c>
      <c r="BM305" s="164"/>
      <c r="BN305" s="164"/>
      <c r="BO305" s="164"/>
      <c r="BP305" s="164"/>
      <c r="BQ305" s="164"/>
      <c r="BR305" s="164"/>
      <c r="BS305" s="164">
        <f>BT305+BU305</f>
        <v>0</v>
      </c>
      <c r="BT305" s="164">
        <f>AZ305-BN305-BQ305</f>
        <v>0</v>
      </c>
      <c r="BU305" s="164"/>
      <c r="BV305" s="164">
        <f>BW305+BX305</f>
        <v>0</v>
      </c>
      <c r="BW305" s="164"/>
      <c r="BX305" s="164"/>
      <c r="BY305" s="164">
        <f>BZ305+CA305</f>
        <v>0</v>
      </c>
      <c r="BZ305" s="164">
        <f>CC305-BW305</f>
        <v>0</v>
      </c>
      <c r="CA305" s="164">
        <f>CD305-BX305</f>
        <v>0</v>
      </c>
      <c r="CB305" s="164">
        <f>CC305+CD305</f>
        <v>0</v>
      </c>
      <c r="CC305" s="164"/>
      <c r="CD305" s="164"/>
      <c r="CE305" s="164">
        <v>1</v>
      </c>
      <c r="CF305" s="164">
        <f t="shared" si="668"/>
        <v>0</v>
      </c>
      <c r="CG305" s="164"/>
      <c r="CH305" s="164">
        <f>CI305+CJ305</f>
        <v>0</v>
      </c>
      <c r="CI305" s="164"/>
      <c r="CJ305" s="164"/>
      <c r="CK305" s="164">
        <f>CL305+CM305</f>
        <v>0</v>
      </c>
      <c r="CL305" s="164">
        <f>CR305-CI305</f>
        <v>0</v>
      </c>
      <c r="CM305" s="164">
        <f>CS305-CJ305</f>
        <v>0</v>
      </c>
      <c r="CN305" s="164">
        <f>CO305+CP305</f>
        <v>0</v>
      </c>
      <c r="CO305" s="164">
        <f>II305-CL305</f>
        <v>0</v>
      </c>
      <c r="CP305" s="164">
        <f>IJ305-CM305</f>
        <v>0</v>
      </c>
      <c r="CQ305" s="164">
        <f>CR305+CS305</f>
        <v>0</v>
      </c>
      <c r="CR305" s="164"/>
      <c r="CS305" s="164"/>
      <c r="CT305" s="164">
        <f>CU305+CV305</f>
        <v>0</v>
      </c>
      <c r="CU305" s="164"/>
      <c r="CV305" s="164"/>
      <c r="CW305" s="164">
        <f>CX305+CY305</f>
        <v>0</v>
      </c>
      <c r="CX305" s="164">
        <v>0</v>
      </c>
      <c r="CY305" s="164"/>
      <c r="CZ305" s="164">
        <f>DA305+DB305</f>
        <v>0</v>
      </c>
      <c r="DA305" s="164"/>
      <c r="DB305" s="164"/>
      <c r="DC305" s="164"/>
      <c r="DD305" s="164"/>
      <c r="DE305" s="164"/>
      <c r="DF305" s="164">
        <f>DG305+DH305</f>
        <v>0</v>
      </c>
      <c r="DG305" s="164">
        <f>DJ305-CX305</f>
        <v>0</v>
      </c>
      <c r="DH305" s="164"/>
      <c r="DI305" s="181">
        <f t="shared" si="637"/>
        <v>0</v>
      </c>
      <c r="DJ305" s="164">
        <v>0</v>
      </c>
      <c r="DK305" s="164"/>
      <c r="DL305" s="164">
        <f>DM305+DN305</f>
        <v>0</v>
      </c>
      <c r="DM305" s="164">
        <v>0</v>
      </c>
      <c r="DN305" s="164"/>
      <c r="DO305" s="164">
        <f>DP305+DQ305</f>
        <v>0</v>
      </c>
      <c r="DP305" s="164">
        <v>0</v>
      </c>
      <c r="DQ305" s="164"/>
      <c r="DR305" s="164">
        <f>DS305+DT305</f>
        <v>0</v>
      </c>
      <c r="DS305" s="164">
        <f>DJ305-DM305-DP305</f>
        <v>0</v>
      </c>
      <c r="DT305" s="164"/>
      <c r="DU305" s="164">
        <f t="shared" si="689"/>
        <v>814.12684999999999</v>
      </c>
      <c r="DV305" s="164">
        <v>814.12684999999999</v>
      </c>
      <c r="DW305" s="164"/>
      <c r="DX305" s="164">
        <f>DY305+DZ305</f>
        <v>0</v>
      </c>
      <c r="DY305" s="164"/>
      <c r="DZ305" s="164"/>
      <c r="EA305" s="164"/>
      <c r="EB305" s="164"/>
      <c r="EC305" s="164"/>
      <c r="ED305" s="181">
        <f>EE305</f>
        <v>0</v>
      </c>
      <c r="EE305" s="164"/>
      <c r="EF305" s="164"/>
      <c r="EG305" s="180">
        <f t="shared" si="672"/>
        <v>314000</v>
      </c>
      <c r="EH305" s="164">
        <v>314000</v>
      </c>
      <c r="EI305" s="164"/>
      <c r="EJ305" s="164"/>
      <c r="EK305" s="164">
        <f>EL305+EN305</f>
        <v>-314000</v>
      </c>
      <c r="EL305" s="164">
        <f>ET305-EH305</f>
        <v>-314000</v>
      </c>
      <c r="EM305" s="164"/>
      <c r="EN305" s="164"/>
      <c r="EO305" s="164">
        <f>EP305+ER305</f>
        <v>0</v>
      </c>
      <c r="EP305" s="164"/>
      <c r="EQ305" s="164"/>
      <c r="ER305" s="164"/>
      <c r="ES305" s="164">
        <f t="shared" si="687"/>
        <v>0</v>
      </c>
      <c r="ET305" s="164"/>
      <c r="EU305" s="164"/>
      <c r="EV305" s="164"/>
      <c r="EW305" s="164">
        <f>EX305+EY305</f>
        <v>638.27878999999996</v>
      </c>
      <c r="EX305" s="164">
        <v>638.27878999999996</v>
      </c>
      <c r="EY305" s="164"/>
      <c r="EZ305" s="181">
        <f t="shared" si="638"/>
        <v>335396.84057</v>
      </c>
      <c r="FA305" s="164">
        <f>FD305-EX305</f>
        <v>335396.84057</v>
      </c>
      <c r="FB305" s="164"/>
      <c r="FC305" s="180">
        <f t="shared" si="656"/>
        <v>336035.11936000001</v>
      </c>
      <c r="FD305" s="163">
        <v>336035.11936000001</v>
      </c>
      <c r="FE305" s="163"/>
      <c r="FF305" s="163"/>
      <c r="FG305" s="163">
        <f>FH305+FJ305</f>
        <v>14938.401190000004</v>
      </c>
      <c r="FH305" s="163">
        <f>FP305-FD305</f>
        <v>14938.401190000004</v>
      </c>
      <c r="FI305" s="163"/>
      <c r="FJ305" s="163"/>
      <c r="FK305" s="163">
        <f>FL305+FN305</f>
        <v>0</v>
      </c>
      <c r="FL305" s="163"/>
      <c r="FM305" s="163"/>
      <c r="FN305" s="163"/>
      <c r="FO305" s="180">
        <f t="shared" si="676"/>
        <v>350973.52055000002</v>
      </c>
      <c r="FP305" s="163">
        <f>314000+36973.52055</f>
        <v>350973.52055000002</v>
      </c>
      <c r="FQ305" s="163"/>
      <c r="FR305" s="163"/>
      <c r="FS305" s="163">
        <f>FU305</f>
        <v>28150.085510000001</v>
      </c>
      <c r="FT305" s="577">
        <f t="shared" si="640"/>
        <v>8.3771260467101191E-2</v>
      </c>
      <c r="FU305" s="163">
        <v>28150.085510000001</v>
      </c>
      <c r="FV305" s="577">
        <f t="shared" si="641"/>
        <v>8.3771260467101191E-2</v>
      </c>
      <c r="FW305" s="164"/>
      <c r="FX305" s="577"/>
      <c r="FY305" s="164"/>
      <c r="FZ305" s="672"/>
      <c r="GA305" s="163">
        <f>GC305</f>
        <v>28150.085510000001</v>
      </c>
      <c r="GB305" s="577">
        <f>GA305/FC305</f>
        <v>8.3771260467101191E-2</v>
      </c>
      <c r="GC305" s="163">
        <v>28150.085510000001</v>
      </c>
      <c r="GD305" s="577">
        <f t="shared" si="657"/>
        <v>8.3771260467101191E-2</v>
      </c>
      <c r="GE305" s="164"/>
      <c r="GF305" s="577"/>
      <c r="GG305" s="163"/>
      <c r="GH305" s="577"/>
      <c r="GI305" s="163">
        <f>GK305</f>
        <v>36973.520550000001</v>
      </c>
      <c r="GJ305" s="577">
        <f t="shared" si="658"/>
        <v>0.11002873931873071</v>
      </c>
      <c r="GK305" s="163">
        <v>36973.520550000001</v>
      </c>
      <c r="GL305" s="577">
        <f t="shared" si="659"/>
        <v>0.11002873931873071</v>
      </c>
      <c r="GM305" s="163"/>
      <c r="GN305" s="577"/>
      <c r="GO305" s="163"/>
      <c r="GP305" s="577"/>
      <c r="GQ305" s="164"/>
      <c r="GR305" s="164"/>
      <c r="GS305" s="164"/>
      <c r="GT305" s="164"/>
      <c r="GU305" s="181">
        <f t="shared" si="660"/>
        <v>154000</v>
      </c>
      <c r="GV305" s="164">
        <v>154000</v>
      </c>
      <c r="GW305" s="164"/>
      <c r="GX305" s="164"/>
      <c r="GY305" s="164"/>
      <c r="GZ305" s="164"/>
      <c r="HA305" s="164"/>
      <c r="HB305" s="164"/>
      <c r="HC305" s="164"/>
      <c r="HD305" s="164"/>
      <c r="HE305" s="164"/>
      <c r="HF305" s="164"/>
      <c r="HG305" s="181">
        <f t="shared" si="661"/>
        <v>0</v>
      </c>
      <c r="HH305" s="164">
        <f>HP305-GV305</f>
        <v>0</v>
      </c>
      <c r="HI305" s="164"/>
      <c r="HJ305" s="164"/>
      <c r="HK305" s="181">
        <f t="shared" si="662"/>
        <v>0</v>
      </c>
      <c r="HL305" s="164">
        <f>IF305</f>
        <v>0</v>
      </c>
      <c r="HM305" s="164"/>
      <c r="HN305" s="164"/>
      <c r="HO305" s="181">
        <f t="shared" si="678"/>
        <v>154000</v>
      </c>
      <c r="HP305" s="164">
        <v>154000</v>
      </c>
      <c r="HQ305" s="164"/>
      <c r="HR305" s="164"/>
      <c r="HS305" s="181">
        <f t="shared" si="663"/>
        <v>0</v>
      </c>
      <c r="HT305" s="164">
        <v>0</v>
      </c>
      <c r="HU305" s="164"/>
      <c r="HV305" s="164"/>
      <c r="HW305" s="181">
        <f t="shared" si="664"/>
        <v>0</v>
      </c>
      <c r="HX305" s="164">
        <f>IR305</f>
        <v>0</v>
      </c>
      <c r="HY305" s="164"/>
      <c r="HZ305" s="164"/>
      <c r="IA305" s="181">
        <f t="shared" si="665"/>
        <v>0</v>
      </c>
      <c r="IB305" s="164">
        <v>0</v>
      </c>
      <c r="IC305" s="164"/>
      <c r="ID305" s="164"/>
      <c r="IE305" s="326"/>
      <c r="IF305" s="170"/>
      <c r="IG305" s="170"/>
      <c r="IH305" s="170"/>
    </row>
    <row r="306" spans="2:242" s="171" customFormat="1" ht="39.75" hidden="1" customHeight="1" x14ac:dyDescent="0.25">
      <c r="B306" s="324"/>
      <c r="C306" s="164" t="s">
        <v>172</v>
      </c>
      <c r="D306" s="325"/>
      <c r="E306" s="164">
        <f t="shared" si="691"/>
        <v>0</v>
      </c>
      <c r="F306" s="164"/>
      <c r="G306" s="164"/>
      <c r="H306" s="164">
        <f t="shared" si="692"/>
        <v>700</v>
      </c>
      <c r="I306" s="164">
        <f>L306-F306</f>
        <v>700</v>
      </c>
      <c r="J306" s="164">
        <f>M306-G306</f>
        <v>0</v>
      </c>
      <c r="K306" s="164">
        <f t="shared" si="693"/>
        <v>700</v>
      </c>
      <c r="L306" s="164">
        <v>700</v>
      </c>
      <c r="M306" s="164"/>
      <c r="N306" s="164">
        <f t="shared" si="694"/>
        <v>0</v>
      </c>
      <c r="O306" s="164">
        <f>R306-L306</f>
        <v>0</v>
      </c>
      <c r="P306" s="164">
        <f>S306-M306</f>
        <v>0</v>
      </c>
      <c r="Q306" s="164">
        <f t="shared" si="695"/>
        <v>700</v>
      </c>
      <c r="R306" s="164">
        <v>700</v>
      </c>
      <c r="S306" s="164"/>
      <c r="T306" s="164">
        <f t="shared" si="696"/>
        <v>0</v>
      </c>
      <c r="U306" s="164"/>
      <c r="V306" s="164"/>
      <c r="W306" s="164">
        <f t="shared" si="697"/>
        <v>3986.1802899999998</v>
      </c>
      <c r="X306" s="164">
        <f>AA306-U306</f>
        <v>3986.1802899999998</v>
      </c>
      <c r="Y306" s="164">
        <f>AB306-V306</f>
        <v>0</v>
      </c>
      <c r="Z306" s="164">
        <f>AA306+AB306</f>
        <v>3986.1802899999998</v>
      </c>
      <c r="AA306" s="164">
        <v>3986.1802899999998</v>
      </c>
      <c r="AB306" s="164"/>
      <c r="AC306" s="164">
        <f>AD306+AE306</f>
        <v>0</v>
      </c>
      <c r="AD306" s="164"/>
      <c r="AE306" s="164"/>
      <c r="AF306" s="164">
        <f>AG306+AH306</f>
        <v>3986.1802899999998</v>
      </c>
      <c r="AG306" s="164">
        <f>AA306+AD306</f>
        <v>3986.1802899999998</v>
      </c>
      <c r="AH306" s="164"/>
      <c r="AI306" s="164"/>
      <c r="AJ306" s="164"/>
      <c r="AK306" s="164">
        <f t="shared" si="690"/>
        <v>3986.1802899999998</v>
      </c>
      <c r="AL306" s="164">
        <f t="shared" si="690"/>
        <v>0</v>
      </c>
      <c r="AM306" s="164"/>
      <c r="AN306" s="164"/>
      <c r="AO306" s="164">
        <v>1</v>
      </c>
      <c r="AP306" s="164"/>
      <c r="AQ306" s="164"/>
      <c r="AR306" s="164">
        <f>AF306-AP306</f>
        <v>3986.1802899999998</v>
      </c>
      <c r="AS306" s="164">
        <f>AT306+AU306</f>
        <v>2000</v>
      </c>
      <c r="AT306" s="164">
        <v>2000</v>
      </c>
      <c r="AU306" s="164"/>
      <c r="AV306" s="164">
        <f>AW306+AX306</f>
        <v>-2000</v>
      </c>
      <c r="AW306" s="164">
        <f>AZ306-AT306</f>
        <v>-2000</v>
      </c>
      <c r="AX306" s="164">
        <f>BA306-AU306</f>
        <v>0</v>
      </c>
      <c r="AY306" s="164">
        <f>AZ306+BA306</f>
        <v>0</v>
      </c>
      <c r="AZ306" s="164">
        <v>0</v>
      </c>
      <c r="BA306" s="164"/>
      <c r="BB306" s="164">
        <f>BC306+BD306</f>
        <v>0</v>
      </c>
      <c r="BC306" s="164"/>
      <c r="BD306" s="164"/>
      <c r="BE306" s="164">
        <f>BF306+BG306</f>
        <v>0</v>
      </c>
      <c r="BF306" s="164">
        <f>BW306-BC306</f>
        <v>0</v>
      </c>
      <c r="BG306" s="164">
        <f>BX306-BD306</f>
        <v>0</v>
      </c>
      <c r="BH306" s="164">
        <f>BI306+BJ306</f>
        <v>0</v>
      </c>
      <c r="BI306" s="164">
        <v>0</v>
      </c>
      <c r="BJ306" s="164"/>
      <c r="BK306" s="164">
        <v>1</v>
      </c>
      <c r="BL306" s="164">
        <f t="shared" si="682"/>
        <v>0</v>
      </c>
      <c r="BM306" s="164"/>
      <c r="BN306" s="164"/>
      <c r="BO306" s="164"/>
      <c r="BP306" s="164"/>
      <c r="BQ306" s="164"/>
      <c r="BR306" s="164"/>
      <c r="BS306" s="164">
        <f>BT306+BU306</f>
        <v>0</v>
      </c>
      <c r="BT306" s="164">
        <v>0</v>
      </c>
      <c r="BU306" s="164"/>
      <c r="BV306" s="164">
        <f>BW306+BX306</f>
        <v>0</v>
      </c>
      <c r="BW306" s="164"/>
      <c r="BX306" s="164"/>
      <c r="BY306" s="164">
        <f>BZ306+CA306</f>
        <v>0</v>
      </c>
      <c r="BZ306" s="164">
        <f>CC306-BW306</f>
        <v>0</v>
      </c>
      <c r="CA306" s="164">
        <f>CD306-BX306</f>
        <v>0</v>
      </c>
      <c r="CB306" s="164">
        <f>CC306+CD306</f>
        <v>0</v>
      </c>
      <c r="CC306" s="164"/>
      <c r="CD306" s="164"/>
      <c r="CE306" s="164">
        <v>1</v>
      </c>
      <c r="CF306" s="164">
        <f t="shared" si="668"/>
        <v>0</v>
      </c>
      <c r="CG306" s="164"/>
      <c r="CH306" s="164">
        <f>CI306+CJ306</f>
        <v>2000</v>
      </c>
      <c r="CI306" s="164">
        <v>2000</v>
      </c>
      <c r="CJ306" s="164"/>
      <c r="CK306" s="164">
        <f>CL306+CM306</f>
        <v>-2000</v>
      </c>
      <c r="CL306" s="164">
        <f>CR306-CI306</f>
        <v>-2000</v>
      </c>
      <c r="CM306" s="164">
        <f>CS306-CJ306</f>
        <v>0</v>
      </c>
      <c r="CN306" s="164">
        <f>CO306+CP306</f>
        <v>2000</v>
      </c>
      <c r="CO306" s="164">
        <f>II306-CL306</f>
        <v>2000</v>
      </c>
      <c r="CP306" s="164">
        <f>IJ306-CM306</f>
        <v>0</v>
      </c>
      <c r="CQ306" s="164">
        <f>CR306+CS306</f>
        <v>0</v>
      </c>
      <c r="CR306" s="164"/>
      <c r="CS306" s="164"/>
      <c r="CT306" s="164">
        <f>CU306+CV306</f>
        <v>0</v>
      </c>
      <c r="CU306" s="164"/>
      <c r="CV306" s="164"/>
      <c r="CW306" s="164">
        <f>CX306+CY306</f>
        <v>0</v>
      </c>
      <c r="CX306" s="164">
        <v>0</v>
      </c>
      <c r="CY306" s="164"/>
      <c r="CZ306" s="164">
        <f>DA306+DB306</f>
        <v>0</v>
      </c>
      <c r="DA306" s="164"/>
      <c r="DB306" s="164"/>
      <c r="DC306" s="164"/>
      <c r="DD306" s="164"/>
      <c r="DE306" s="164"/>
      <c r="DF306" s="164">
        <f>DG306+DH306</f>
        <v>0</v>
      </c>
      <c r="DG306" s="164">
        <f>DJ306-CX306</f>
        <v>0</v>
      </c>
      <c r="DH306" s="164"/>
      <c r="DI306" s="181">
        <f t="shared" si="637"/>
        <v>0</v>
      </c>
      <c r="DJ306" s="164">
        <v>0</v>
      </c>
      <c r="DK306" s="164"/>
      <c r="DL306" s="164">
        <f>DM306+DN306</f>
        <v>0</v>
      </c>
      <c r="DM306" s="164">
        <v>0</v>
      </c>
      <c r="DN306" s="164"/>
      <c r="DO306" s="164">
        <f>DP306+DQ306</f>
        <v>0</v>
      </c>
      <c r="DP306" s="164">
        <v>0</v>
      </c>
      <c r="DQ306" s="164"/>
      <c r="DR306" s="164">
        <f>DS306+DT306</f>
        <v>0</v>
      </c>
      <c r="DS306" s="164">
        <f>DJ306-DM306-DP306</f>
        <v>0</v>
      </c>
      <c r="DT306" s="164"/>
      <c r="DU306" s="164">
        <f t="shared" si="689"/>
        <v>0</v>
      </c>
      <c r="DV306" s="164"/>
      <c r="DW306" s="164"/>
      <c r="DX306" s="164">
        <f>DY306+DZ306</f>
        <v>0</v>
      </c>
      <c r="DY306" s="164"/>
      <c r="DZ306" s="164"/>
      <c r="EA306" s="164"/>
      <c r="EB306" s="164"/>
      <c r="EC306" s="164"/>
      <c r="ED306" s="181" t="e">
        <f>EE306+#REF!</f>
        <v>#REF!</v>
      </c>
      <c r="EE306" s="164"/>
      <c r="EF306" s="164"/>
      <c r="EG306" s="180">
        <f t="shared" si="672"/>
        <v>6000</v>
      </c>
      <c r="EH306" s="164">
        <v>6000</v>
      </c>
      <c r="EI306" s="164"/>
      <c r="EJ306" s="164"/>
      <c r="EK306" s="164">
        <f>EL306+EN306</f>
        <v>-6000</v>
      </c>
      <c r="EL306" s="164">
        <f>ET306-EH306</f>
        <v>-6000</v>
      </c>
      <c r="EM306" s="164"/>
      <c r="EN306" s="164"/>
      <c r="EO306" s="164">
        <f>EP306+ER306</f>
        <v>0</v>
      </c>
      <c r="EP306" s="164">
        <f>EX306</f>
        <v>0</v>
      </c>
      <c r="EQ306" s="164"/>
      <c r="ER306" s="164"/>
      <c r="ES306" s="164">
        <f t="shared" si="687"/>
        <v>0</v>
      </c>
      <c r="ET306" s="164"/>
      <c r="EU306" s="164"/>
      <c r="EV306" s="164"/>
      <c r="EW306" s="164">
        <f>EX306+EY306</f>
        <v>0</v>
      </c>
      <c r="EX306" s="164"/>
      <c r="EY306" s="164"/>
      <c r="EZ306" s="181">
        <f t="shared" si="638"/>
        <v>0</v>
      </c>
      <c r="FA306" s="164"/>
      <c r="FB306" s="164"/>
      <c r="FC306" s="180">
        <f t="shared" si="656"/>
        <v>8927.8561200000004</v>
      </c>
      <c r="FD306" s="163">
        <v>8927.8561200000004</v>
      </c>
      <c r="FE306" s="163"/>
      <c r="FF306" s="163"/>
      <c r="FG306" s="163">
        <f>FH306+FJ306</f>
        <v>262.51447999999982</v>
      </c>
      <c r="FH306" s="163">
        <f>FP306-FD306</f>
        <v>262.51447999999982</v>
      </c>
      <c r="FI306" s="163"/>
      <c r="FJ306" s="163"/>
      <c r="FK306" s="163">
        <f>FL306+FN306</f>
        <v>6000</v>
      </c>
      <c r="FL306" s="163">
        <f>GV306</f>
        <v>6000</v>
      </c>
      <c r="FM306" s="163"/>
      <c r="FN306" s="163"/>
      <c r="FO306" s="180">
        <f t="shared" si="676"/>
        <v>9190.3706000000002</v>
      </c>
      <c r="FP306" s="163">
        <f>6000+3190.3706</f>
        <v>9190.3706000000002</v>
      </c>
      <c r="FQ306" s="163"/>
      <c r="FR306" s="163"/>
      <c r="FS306" s="163">
        <f>FU306</f>
        <v>5689.7414699999999</v>
      </c>
      <c r="FT306" s="577">
        <f t="shared" si="640"/>
        <v>0.63730210181747415</v>
      </c>
      <c r="FU306" s="163">
        <v>5689.7414699999999</v>
      </c>
      <c r="FV306" s="577">
        <f t="shared" si="641"/>
        <v>0.63730210181747415</v>
      </c>
      <c r="FW306" s="164"/>
      <c r="FX306" s="577"/>
      <c r="FY306" s="164"/>
      <c r="FZ306" s="672"/>
      <c r="GA306" s="163">
        <f>GC306</f>
        <v>5856.8851500000001</v>
      </c>
      <c r="GB306" s="577">
        <f>GA306/FC306</f>
        <v>0.65602369384958237</v>
      </c>
      <c r="GC306" s="163">
        <v>5856.8851500000001</v>
      </c>
      <c r="GD306" s="577">
        <f t="shared" si="657"/>
        <v>0.65602369384958237</v>
      </c>
      <c r="GE306" s="164"/>
      <c r="GF306" s="577"/>
      <c r="GG306" s="163"/>
      <c r="GH306" s="577"/>
      <c r="GI306" s="163">
        <f>GK306</f>
        <v>6284.1259899999995</v>
      </c>
      <c r="GJ306" s="577">
        <f t="shared" si="658"/>
        <v>0.70387850179646483</v>
      </c>
      <c r="GK306" s="163">
        <v>6284.1259899999995</v>
      </c>
      <c r="GL306" s="577">
        <f t="shared" si="659"/>
        <v>0.70387850179646483</v>
      </c>
      <c r="GM306" s="163"/>
      <c r="GN306" s="577"/>
      <c r="GO306" s="163"/>
      <c r="GP306" s="577"/>
      <c r="GQ306" s="164"/>
      <c r="GR306" s="164"/>
      <c r="GS306" s="164"/>
      <c r="GT306" s="164"/>
      <c r="GU306" s="181">
        <f t="shared" si="660"/>
        <v>6000</v>
      </c>
      <c r="GV306" s="164">
        <v>6000</v>
      </c>
      <c r="GW306" s="164"/>
      <c r="GX306" s="164"/>
      <c r="GY306" s="164"/>
      <c r="GZ306" s="164"/>
      <c r="HA306" s="164"/>
      <c r="HB306" s="164"/>
      <c r="HC306" s="164"/>
      <c r="HD306" s="164"/>
      <c r="HE306" s="164"/>
      <c r="HF306" s="164"/>
      <c r="HG306" s="181">
        <f t="shared" si="661"/>
        <v>0</v>
      </c>
      <c r="HH306" s="164">
        <f>HP306-GV306</f>
        <v>0</v>
      </c>
      <c r="HI306" s="164"/>
      <c r="HJ306" s="164"/>
      <c r="HK306" s="181">
        <f t="shared" si="662"/>
        <v>0</v>
      </c>
      <c r="HL306" s="164">
        <f>IF306</f>
        <v>0</v>
      </c>
      <c r="HM306" s="164"/>
      <c r="HN306" s="164"/>
      <c r="HO306" s="181">
        <f t="shared" si="678"/>
        <v>6000</v>
      </c>
      <c r="HP306" s="164">
        <v>6000</v>
      </c>
      <c r="HQ306" s="164"/>
      <c r="HR306" s="164"/>
      <c r="HS306" s="181">
        <f t="shared" si="663"/>
        <v>0</v>
      </c>
      <c r="HT306" s="164">
        <v>0</v>
      </c>
      <c r="HU306" s="164"/>
      <c r="HV306" s="164"/>
      <c r="HW306" s="181">
        <f t="shared" si="664"/>
        <v>0</v>
      </c>
      <c r="HX306" s="164">
        <f>IR306</f>
        <v>0</v>
      </c>
      <c r="HY306" s="164"/>
      <c r="HZ306" s="164"/>
      <c r="IA306" s="181">
        <f t="shared" si="665"/>
        <v>0</v>
      </c>
      <c r="IB306" s="164">
        <v>0</v>
      </c>
      <c r="IC306" s="164"/>
      <c r="ID306" s="164"/>
      <c r="IE306" s="326"/>
      <c r="IF306" s="170"/>
      <c r="IG306" s="170"/>
      <c r="IH306" s="170"/>
    </row>
    <row r="307" spans="2:242" s="171" customFormat="1" ht="38.25" hidden="1" customHeight="1" x14ac:dyDescent="0.25">
      <c r="B307" s="324"/>
      <c r="C307" s="164"/>
      <c r="D307" s="325"/>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c r="AB307" s="164"/>
      <c r="AC307" s="164"/>
      <c r="AD307" s="164"/>
      <c r="AE307" s="164"/>
      <c r="AF307" s="164"/>
      <c r="AG307" s="164"/>
      <c r="AH307" s="164"/>
      <c r="AI307" s="164"/>
      <c r="AJ307" s="164"/>
      <c r="AK307" s="164"/>
      <c r="AL307" s="164"/>
      <c r="AM307" s="164"/>
      <c r="AN307" s="164"/>
      <c r="AO307" s="164"/>
      <c r="AP307" s="164"/>
      <c r="AQ307" s="164"/>
      <c r="AR307" s="164"/>
      <c r="AS307" s="164"/>
      <c r="AT307" s="164"/>
      <c r="AU307" s="164"/>
      <c r="AV307" s="164"/>
      <c r="AW307" s="164"/>
      <c r="AX307" s="164"/>
      <c r="AY307" s="164"/>
      <c r="AZ307" s="164"/>
      <c r="BA307" s="164"/>
      <c r="BB307" s="164"/>
      <c r="BC307" s="164"/>
      <c r="BD307" s="164"/>
      <c r="BE307" s="164"/>
      <c r="BF307" s="164"/>
      <c r="BG307" s="164"/>
      <c r="BH307" s="164"/>
      <c r="BI307" s="164"/>
      <c r="BJ307" s="164"/>
      <c r="BK307" s="164"/>
      <c r="BL307" s="164"/>
      <c r="BM307" s="164"/>
      <c r="BN307" s="164"/>
      <c r="BO307" s="164"/>
      <c r="BP307" s="164"/>
      <c r="BQ307" s="164"/>
      <c r="BR307" s="164"/>
      <c r="BS307" s="164"/>
      <c r="BT307" s="164"/>
      <c r="BU307" s="164"/>
      <c r="BV307" s="164"/>
      <c r="BW307" s="164"/>
      <c r="BX307" s="164"/>
      <c r="BY307" s="164"/>
      <c r="BZ307" s="164"/>
      <c r="CA307" s="164"/>
      <c r="CB307" s="164"/>
      <c r="CC307" s="164"/>
      <c r="CD307" s="164"/>
      <c r="CE307" s="164"/>
      <c r="CF307" s="164"/>
      <c r="CG307" s="164"/>
      <c r="CH307" s="164"/>
      <c r="CI307" s="164"/>
      <c r="CJ307" s="164"/>
      <c r="CK307" s="164"/>
      <c r="CL307" s="164"/>
      <c r="CM307" s="164"/>
      <c r="CN307" s="164"/>
      <c r="CO307" s="164"/>
      <c r="CP307" s="164"/>
      <c r="CQ307" s="164"/>
      <c r="CR307" s="164"/>
      <c r="CS307" s="164"/>
      <c r="CT307" s="164"/>
      <c r="CU307" s="164"/>
      <c r="CV307" s="164"/>
      <c r="CW307" s="164"/>
      <c r="CX307" s="164"/>
      <c r="CY307" s="164"/>
      <c r="CZ307" s="164"/>
      <c r="DA307" s="164"/>
      <c r="DB307" s="164"/>
      <c r="DC307" s="164"/>
      <c r="DD307" s="164"/>
      <c r="DE307" s="164"/>
      <c r="DF307" s="164"/>
      <c r="DG307" s="164"/>
      <c r="DH307" s="164"/>
      <c r="DI307" s="181"/>
      <c r="DJ307" s="164"/>
      <c r="DK307" s="164"/>
      <c r="DL307" s="164"/>
      <c r="DM307" s="164"/>
      <c r="DN307" s="164"/>
      <c r="DO307" s="164"/>
      <c r="DP307" s="164"/>
      <c r="DQ307" s="164"/>
      <c r="DR307" s="164"/>
      <c r="DS307" s="164"/>
      <c r="DT307" s="164"/>
      <c r="DU307" s="164"/>
      <c r="DV307" s="164"/>
      <c r="DW307" s="164"/>
      <c r="DX307" s="164"/>
      <c r="DY307" s="164"/>
      <c r="DZ307" s="164"/>
      <c r="EA307" s="164"/>
      <c r="EB307" s="164"/>
      <c r="EC307" s="164"/>
      <c r="ED307" s="181"/>
      <c r="EE307" s="164"/>
      <c r="EF307" s="164"/>
      <c r="EG307" s="180"/>
      <c r="EH307" s="164"/>
      <c r="EI307" s="164"/>
      <c r="EJ307" s="164"/>
      <c r="EK307" s="164"/>
      <c r="EL307" s="164"/>
      <c r="EM307" s="164"/>
      <c r="EN307" s="164"/>
      <c r="EO307" s="164"/>
      <c r="EP307" s="164"/>
      <c r="EQ307" s="164"/>
      <c r="ER307" s="164"/>
      <c r="ES307" s="164"/>
      <c r="ET307" s="164"/>
      <c r="EU307" s="164"/>
      <c r="EV307" s="164"/>
      <c r="EW307" s="164"/>
      <c r="EX307" s="164"/>
      <c r="EY307" s="164"/>
      <c r="EZ307" s="181"/>
      <c r="FA307" s="164"/>
      <c r="FB307" s="164"/>
      <c r="FC307" s="180"/>
      <c r="FD307" s="163"/>
      <c r="FE307" s="163"/>
      <c r="FF307" s="163"/>
      <c r="FG307" s="163"/>
      <c r="FH307" s="163"/>
      <c r="FI307" s="163"/>
      <c r="FJ307" s="163"/>
      <c r="FK307" s="163"/>
      <c r="FL307" s="163"/>
      <c r="FM307" s="163"/>
      <c r="FN307" s="163"/>
      <c r="FO307" s="180"/>
      <c r="FP307" s="163"/>
      <c r="FQ307" s="163"/>
      <c r="FR307" s="163"/>
      <c r="FS307" s="163"/>
      <c r="FT307" s="577" t="e">
        <f t="shared" si="640"/>
        <v>#DIV/0!</v>
      </c>
      <c r="FU307" s="163"/>
      <c r="FV307" s="577" t="e">
        <f t="shared" si="641"/>
        <v>#DIV/0!</v>
      </c>
      <c r="FW307" s="164"/>
      <c r="FX307" s="577"/>
      <c r="FY307" s="164"/>
      <c r="FZ307" s="672"/>
      <c r="GA307" s="163"/>
      <c r="GB307" s="577" t="e">
        <f t="shared" ref="GB307:GB309" si="698">GA307/FC307</f>
        <v>#DIV/0!</v>
      </c>
      <c r="GC307" s="163"/>
      <c r="GD307" s="577" t="e">
        <f t="shared" si="657"/>
        <v>#DIV/0!</v>
      </c>
      <c r="GE307" s="164"/>
      <c r="GF307" s="577"/>
      <c r="GG307" s="163"/>
      <c r="GH307" s="577"/>
      <c r="GI307" s="163"/>
      <c r="GJ307" s="577"/>
      <c r="GK307" s="163"/>
      <c r="GL307" s="577"/>
      <c r="GM307" s="163"/>
      <c r="GN307" s="577"/>
      <c r="GO307" s="163"/>
      <c r="GP307" s="577"/>
      <c r="GQ307" s="164"/>
      <c r="GR307" s="164"/>
      <c r="GS307" s="164"/>
      <c r="GT307" s="164"/>
      <c r="GU307" s="181"/>
      <c r="GV307" s="164"/>
      <c r="GW307" s="164"/>
      <c r="GX307" s="164"/>
      <c r="GY307" s="164"/>
      <c r="GZ307" s="164"/>
      <c r="HA307" s="164"/>
      <c r="HB307" s="164"/>
      <c r="HC307" s="164"/>
      <c r="HD307" s="164"/>
      <c r="HE307" s="164"/>
      <c r="HF307" s="164"/>
      <c r="HG307" s="181"/>
      <c r="HH307" s="164"/>
      <c r="HI307" s="164"/>
      <c r="HJ307" s="164"/>
      <c r="HK307" s="181"/>
      <c r="HL307" s="164"/>
      <c r="HM307" s="164"/>
      <c r="HN307" s="164"/>
      <c r="HO307" s="181"/>
      <c r="HP307" s="164"/>
      <c r="HQ307" s="164"/>
      <c r="HR307" s="164"/>
      <c r="HS307" s="181"/>
      <c r="HT307" s="164"/>
      <c r="HU307" s="164"/>
      <c r="HV307" s="164"/>
      <c r="HW307" s="181"/>
      <c r="HX307" s="164"/>
      <c r="HY307" s="164"/>
      <c r="HZ307" s="164"/>
      <c r="IA307" s="181"/>
      <c r="IB307" s="164"/>
      <c r="IC307" s="164"/>
      <c r="ID307" s="164"/>
      <c r="IE307" s="326"/>
      <c r="IF307" s="170"/>
      <c r="IG307" s="170"/>
      <c r="IH307" s="170"/>
    </row>
    <row r="308" spans="2:242" s="171" customFormat="1" ht="105" hidden="1" customHeight="1" x14ac:dyDescent="0.25">
      <c r="B308" s="324"/>
      <c r="C308" s="266" t="s">
        <v>485</v>
      </c>
      <c r="D308" s="325"/>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c r="AB308" s="164"/>
      <c r="AC308" s="164"/>
      <c r="AD308" s="164"/>
      <c r="AE308" s="164"/>
      <c r="AF308" s="164"/>
      <c r="AG308" s="164"/>
      <c r="AH308" s="164"/>
      <c r="AI308" s="164"/>
      <c r="AJ308" s="164"/>
      <c r="AK308" s="164"/>
      <c r="AL308" s="164"/>
      <c r="AM308" s="164"/>
      <c r="AN308" s="164"/>
      <c r="AO308" s="164"/>
      <c r="AP308" s="164"/>
      <c r="AQ308" s="164"/>
      <c r="AR308" s="164"/>
      <c r="AS308" s="164"/>
      <c r="AT308" s="164"/>
      <c r="AU308" s="164"/>
      <c r="AV308" s="164"/>
      <c r="AW308" s="164"/>
      <c r="AX308" s="164"/>
      <c r="AY308" s="164"/>
      <c r="AZ308" s="164"/>
      <c r="BA308" s="164"/>
      <c r="BB308" s="164"/>
      <c r="BC308" s="164"/>
      <c r="BD308" s="164"/>
      <c r="BE308" s="164"/>
      <c r="BF308" s="164"/>
      <c r="BG308" s="164"/>
      <c r="BH308" s="164"/>
      <c r="BI308" s="164"/>
      <c r="BJ308" s="164"/>
      <c r="BK308" s="164"/>
      <c r="BL308" s="164"/>
      <c r="BM308" s="164"/>
      <c r="BN308" s="164"/>
      <c r="BO308" s="164"/>
      <c r="BP308" s="164"/>
      <c r="BQ308" s="164"/>
      <c r="BR308" s="164"/>
      <c r="BS308" s="164"/>
      <c r="BT308" s="164"/>
      <c r="BU308" s="164"/>
      <c r="BV308" s="164"/>
      <c r="BW308" s="164"/>
      <c r="BX308" s="164"/>
      <c r="BY308" s="164"/>
      <c r="BZ308" s="164"/>
      <c r="CA308" s="164"/>
      <c r="CB308" s="164"/>
      <c r="CC308" s="164"/>
      <c r="CD308" s="164"/>
      <c r="CE308" s="164"/>
      <c r="CF308" s="164"/>
      <c r="CG308" s="164"/>
      <c r="CH308" s="164"/>
      <c r="CI308" s="164"/>
      <c r="CJ308" s="164"/>
      <c r="CK308" s="164"/>
      <c r="CL308" s="164"/>
      <c r="CM308" s="164"/>
      <c r="CN308" s="164"/>
      <c r="CO308" s="164"/>
      <c r="CP308" s="164"/>
      <c r="CQ308" s="164"/>
      <c r="CR308" s="164"/>
      <c r="CS308" s="164"/>
      <c r="CT308" s="164"/>
      <c r="CU308" s="164"/>
      <c r="CV308" s="164"/>
      <c r="CW308" s="164"/>
      <c r="CX308" s="164"/>
      <c r="CY308" s="164"/>
      <c r="CZ308" s="164"/>
      <c r="DA308" s="164"/>
      <c r="DB308" s="164"/>
      <c r="DC308" s="164"/>
      <c r="DD308" s="164"/>
      <c r="DE308" s="164"/>
      <c r="DF308" s="164"/>
      <c r="DG308" s="164"/>
      <c r="DH308" s="164"/>
      <c r="DI308" s="181"/>
      <c r="DJ308" s="164"/>
      <c r="DK308" s="164"/>
      <c r="DL308" s="164"/>
      <c r="DM308" s="164"/>
      <c r="DN308" s="164"/>
      <c r="DO308" s="164"/>
      <c r="DP308" s="164"/>
      <c r="DQ308" s="164"/>
      <c r="DR308" s="164"/>
      <c r="DS308" s="164"/>
      <c r="DT308" s="164"/>
      <c r="DU308" s="164"/>
      <c r="DV308" s="164"/>
      <c r="DW308" s="164"/>
      <c r="DX308" s="164"/>
      <c r="DY308" s="164"/>
      <c r="DZ308" s="164"/>
      <c r="EA308" s="164"/>
      <c r="EB308" s="164"/>
      <c r="EC308" s="164"/>
      <c r="ED308" s="181"/>
      <c r="EE308" s="164"/>
      <c r="EF308" s="164"/>
      <c r="EG308" s="180"/>
      <c r="EH308" s="164"/>
      <c r="EI308" s="164"/>
      <c r="EJ308" s="164"/>
      <c r="EK308" s="164"/>
      <c r="EL308" s="164"/>
      <c r="EM308" s="164"/>
      <c r="EN308" s="164"/>
      <c r="EO308" s="164"/>
      <c r="EP308" s="164"/>
      <c r="EQ308" s="164"/>
      <c r="ER308" s="164"/>
      <c r="ES308" s="164"/>
      <c r="ET308" s="164"/>
      <c r="EU308" s="164"/>
      <c r="EV308" s="164"/>
      <c r="EW308" s="164"/>
      <c r="EX308" s="164"/>
      <c r="EY308" s="164"/>
      <c r="EZ308" s="181"/>
      <c r="FA308" s="164"/>
      <c r="FB308" s="164"/>
      <c r="FC308" s="180">
        <f>FD308</f>
        <v>48433.600919999997</v>
      </c>
      <c r="FD308" s="163">
        <f>FD309</f>
        <v>48433.600919999997</v>
      </c>
      <c r="FE308" s="163"/>
      <c r="FF308" s="163"/>
      <c r="FG308" s="180">
        <f>FH308</f>
        <v>0</v>
      </c>
      <c r="FH308" s="163">
        <f>FH309</f>
        <v>0</v>
      </c>
      <c r="FI308" s="163"/>
      <c r="FJ308" s="163"/>
      <c r="FK308" s="163"/>
      <c r="FL308" s="163"/>
      <c r="FM308" s="163"/>
      <c r="FN308" s="163"/>
      <c r="FO308" s="180">
        <f>FP308</f>
        <v>48433.600919999997</v>
      </c>
      <c r="FP308" s="163">
        <f>FP309</f>
        <v>48433.600919999997</v>
      </c>
      <c r="FQ308" s="163"/>
      <c r="FR308" s="163"/>
      <c r="FS308" s="163">
        <f>FU308</f>
        <v>0</v>
      </c>
      <c r="FT308" s="577">
        <f t="shared" si="640"/>
        <v>0</v>
      </c>
      <c r="FU308" s="163">
        <f>FU309</f>
        <v>0</v>
      </c>
      <c r="FV308" s="577">
        <f t="shared" si="641"/>
        <v>0</v>
      </c>
      <c r="FW308" s="164"/>
      <c r="FX308" s="577"/>
      <c r="FY308" s="164"/>
      <c r="FZ308" s="672"/>
      <c r="GA308" s="163">
        <f t="shared" ref="GA308:GA313" si="699">GC308</f>
        <v>2050.1258400000002</v>
      </c>
      <c r="GB308" s="577">
        <f t="shared" si="698"/>
        <v>4.2328585962177111E-2</v>
      </c>
      <c r="GC308" s="163">
        <f>GC309</f>
        <v>2050.1258400000002</v>
      </c>
      <c r="GD308" s="577">
        <f t="shared" si="657"/>
        <v>4.2328585962177111E-2</v>
      </c>
      <c r="GE308" s="164"/>
      <c r="GF308" s="577"/>
      <c r="GG308" s="163"/>
      <c r="GH308" s="577"/>
      <c r="GI308" s="163">
        <f>GK308</f>
        <v>30374.835520000001</v>
      </c>
      <c r="GJ308" s="577">
        <f t="shared" si="658"/>
        <v>0.62714386176182757</v>
      </c>
      <c r="GK308" s="163">
        <f>GK309</f>
        <v>30374.835520000001</v>
      </c>
      <c r="GL308" s="577">
        <f t="shared" si="659"/>
        <v>0.62714386176182757</v>
      </c>
      <c r="GM308" s="163"/>
      <c r="GN308" s="577"/>
      <c r="GO308" s="163"/>
      <c r="GP308" s="577"/>
      <c r="GQ308" s="164"/>
      <c r="GR308" s="164"/>
      <c r="GS308" s="164"/>
      <c r="GT308" s="164"/>
      <c r="GU308" s="181"/>
      <c r="GV308" s="164"/>
      <c r="GW308" s="164"/>
      <c r="GX308" s="164"/>
      <c r="GY308" s="164"/>
      <c r="GZ308" s="164"/>
      <c r="HA308" s="164"/>
      <c r="HB308" s="164"/>
      <c r="HC308" s="164"/>
      <c r="HD308" s="164"/>
      <c r="HE308" s="164"/>
      <c r="HF308" s="164"/>
      <c r="HG308" s="181"/>
      <c r="HH308" s="164"/>
      <c r="HI308" s="164"/>
      <c r="HJ308" s="164"/>
      <c r="HK308" s="181"/>
      <c r="HL308" s="164"/>
      <c r="HM308" s="164"/>
      <c r="HN308" s="164"/>
      <c r="HO308" s="181"/>
      <c r="HP308" s="164"/>
      <c r="HQ308" s="164"/>
      <c r="HR308" s="164"/>
      <c r="HS308" s="181"/>
      <c r="HT308" s="164"/>
      <c r="HU308" s="164"/>
      <c r="HV308" s="164"/>
      <c r="HW308" s="181"/>
      <c r="HX308" s="164"/>
      <c r="HY308" s="164"/>
      <c r="HZ308" s="164"/>
      <c r="IA308" s="181"/>
      <c r="IB308" s="164"/>
      <c r="IC308" s="164"/>
      <c r="ID308" s="164"/>
      <c r="IE308" s="326"/>
      <c r="IF308" s="170"/>
      <c r="IG308" s="170"/>
      <c r="IH308" s="170"/>
    </row>
    <row r="309" spans="2:242" s="171" customFormat="1" ht="38.25" hidden="1" customHeight="1" x14ac:dyDescent="0.25">
      <c r="B309" s="324"/>
      <c r="C309" s="164" t="s">
        <v>172</v>
      </c>
      <c r="D309" s="325"/>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c r="AF309" s="164"/>
      <c r="AG309" s="164"/>
      <c r="AH309" s="164"/>
      <c r="AI309" s="164"/>
      <c r="AJ309" s="164"/>
      <c r="AK309" s="164"/>
      <c r="AL309" s="164"/>
      <c r="AM309" s="164"/>
      <c r="AN309" s="164"/>
      <c r="AO309" s="164"/>
      <c r="AP309" s="164"/>
      <c r="AQ309" s="164"/>
      <c r="AR309" s="164"/>
      <c r="AS309" s="164"/>
      <c r="AT309" s="164"/>
      <c r="AU309" s="164"/>
      <c r="AV309" s="164"/>
      <c r="AW309" s="164"/>
      <c r="AX309" s="164"/>
      <c r="AY309" s="164"/>
      <c r="AZ309" s="164"/>
      <c r="BA309" s="164"/>
      <c r="BB309" s="164"/>
      <c r="BC309" s="164"/>
      <c r="BD309" s="164"/>
      <c r="BE309" s="164"/>
      <c r="BF309" s="164"/>
      <c r="BG309" s="164"/>
      <c r="BH309" s="164"/>
      <c r="BI309" s="164"/>
      <c r="BJ309" s="164"/>
      <c r="BK309" s="164"/>
      <c r="BL309" s="164"/>
      <c r="BM309" s="164"/>
      <c r="BN309" s="164"/>
      <c r="BO309" s="164"/>
      <c r="BP309" s="164"/>
      <c r="BQ309" s="164"/>
      <c r="BR309" s="164"/>
      <c r="BS309" s="164"/>
      <c r="BT309" s="164"/>
      <c r="BU309" s="164"/>
      <c r="BV309" s="164"/>
      <c r="BW309" s="164"/>
      <c r="BX309" s="164"/>
      <c r="BY309" s="164"/>
      <c r="BZ309" s="164"/>
      <c r="CA309" s="164"/>
      <c r="CB309" s="164"/>
      <c r="CC309" s="164"/>
      <c r="CD309" s="164"/>
      <c r="CE309" s="164"/>
      <c r="CF309" s="164"/>
      <c r="CG309" s="164"/>
      <c r="CH309" s="164"/>
      <c r="CI309" s="164"/>
      <c r="CJ309" s="164"/>
      <c r="CK309" s="164"/>
      <c r="CL309" s="164"/>
      <c r="CM309" s="164"/>
      <c r="CN309" s="164"/>
      <c r="CO309" s="164"/>
      <c r="CP309" s="164"/>
      <c r="CQ309" s="164"/>
      <c r="CR309" s="164"/>
      <c r="CS309" s="164"/>
      <c r="CT309" s="164"/>
      <c r="CU309" s="164"/>
      <c r="CV309" s="164"/>
      <c r="CW309" s="164"/>
      <c r="CX309" s="164"/>
      <c r="CY309" s="164"/>
      <c r="CZ309" s="164"/>
      <c r="DA309" s="164"/>
      <c r="DB309" s="164"/>
      <c r="DC309" s="164"/>
      <c r="DD309" s="164"/>
      <c r="DE309" s="164"/>
      <c r="DF309" s="164"/>
      <c r="DG309" s="164"/>
      <c r="DH309" s="164"/>
      <c r="DI309" s="181"/>
      <c r="DJ309" s="164"/>
      <c r="DK309" s="164"/>
      <c r="DL309" s="164"/>
      <c r="DM309" s="164"/>
      <c r="DN309" s="164"/>
      <c r="DO309" s="164"/>
      <c r="DP309" s="164"/>
      <c r="DQ309" s="164"/>
      <c r="DR309" s="164"/>
      <c r="DS309" s="164"/>
      <c r="DT309" s="164"/>
      <c r="DU309" s="164"/>
      <c r="DV309" s="164"/>
      <c r="DW309" s="164"/>
      <c r="DX309" s="164"/>
      <c r="DY309" s="164"/>
      <c r="DZ309" s="164"/>
      <c r="EA309" s="164"/>
      <c r="EB309" s="164"/>
      <c r="EC309" s="164"/>
      <c r="ED309" s="181"/>
      <c r="EE309" s="164"/>
      <c r="EF309" s="164"/>
      <c r="EG309" s="180"/>
      <c r="EH309" s="164"/>
      <c r="EI309" s="164"/>
      <c r="EJ309" s="164"/>
      <c r="EK309" s="164"/>
      <c r="EL309" s="164"/>
      <c r="EM309" s="164"/>
      <c r="EN309" s="164"/>
      <c r="EO309" s="164"/>
      <c r="EP309" s="164"/>
      <c r="EQ309" s="164"/>
      <c r="ER309" s="164"/>
      <c r="ES309" s="164"/>
      <c r="ET309" s="164"/>
      <c r="EU309" s="164"/>
      <c r="EV309" s="164"/>
      <c r="EW309" s="164"/>
      <c r="EX309" s="164"/>
      <c r="EY309" s="164"/>
      <c r="EZ309" s="181"/>
      <c r="FA309" s="164"/>
      <c r="FB309" s="164"/>
      <c r="FC309" s="180">
        <f>FD309</f>
        <v>48433.600919999997</v>
      </c>
      <c r="FD309" s="163">
        <v>48433.600919999997</v>
      </c>
      <c r="FE309" s="163"/>
      <c r="FF309" s="163"/>
      <c r="FG309" s="180">
        <f>FH309</f>
        <v>0</v>
      </c>
      <c r="FH309" s="163">
        <f>FP309-FD309</f>
        <v>0</v>
      </c>
      <c r="FI309" s="163"/>
      <c r="FJ309" s="163"/>
      <c r="FK309" s="163"/>
      <c r="FL309" s="163"/>
      <c r="FM309" s="163"/>
      <c r="FN309" s="163"/>
      <c r="FO309" s="180">
        <f>FP309</f>
        <v>48433.600919999997</v>
      </c>
      <c r="FP309" s="163">
        <f>FD309</f>
        <v>48433.600919999997</v>
      </c>
      <c r="FQ309" s="163"/>
      <c r="FR309" s="163"/>
      <c r="FS309" s="163">
        <f>FU309</f>
        <v>0</v>
      </c>
      <c r="FT309" s="577">
        <f t="shared" si="640"/>
        <v>0</v>
      </c>
      <c r="FU309" s="163">
        <v>0</v>
      </c>
      <c r="FV309" s="577">
        <f t="shared" si="641"/>
        <v>0</v>
      </c>
      <c r="FW309" s="164"/>
      <c r="FX309" s="577"/>
      <c r="FY309" s="164"/>
      <c r="FZ309" s="672"/>
      <c r="GA309" s="163">
        <f t="shared" si="699"/>
        <v>2050.1258400000002</v>
      </c>
      <c r="GB309" s="577">
        <f t="shared" si="698"/>
        <v>4.2328585962177111E-2</v>
      </c>
      <c r="GC309" s="163">
        <v>2050.1258400000002</v>
      </c>
      <c r="GD309" s="577">
        <f t="shared" si="657"/>
        <v>4.2328585962177111E-2</v>
      </c>
      <c r="GE309" s="164"/>
      <c r="GF309" s="577"/>
      <c r="GG309" s="163"/>
      <c r="GH309" s="577"/>
      <c r="GI309" s="163">
        <f>GK309</f>
        <v>30374.835520000001</v>
      </c>
      <c r="GJ309" s="577">
        <f t="shared" si="658"/>
        <v>0.62714386176182757</v>
      </c>
      <c r="GK309" s="163">
        <v>30374.835520000001</v>
      </c>
      <c r="GL309" s="577">
        <f t="shared" si="659"/>
        <v>0.62714386176182757</v>
      </c>
      <c r="GM309" s="163"/>
      <c r="GN309" s="577"/>
      <c r="GO309" s="163"/>
      <c r="GP309" s="577"/>
      <c r="GQ309" s="164"/>
      <c r="GR309" s="164"/>
      <c r="GS309" s="164"/>
      <c r="GT309" s="164"/>
      <c r="GU309" s="181"/>
      <c r="GV309" s="164"/>
      <c r="GW309" s="164"/>
      <c r="GX309" s="164"/>
      <c r="GY309" s="164"/>
      <c r="GZ309" s="164"/>
      <c r="HA309" s="164"/>
      <c r="HB309" s="164"/>
      <c r="HC309" s="164"/>
      <c r="HD309" s="164"/>
      <c r="HE309" s="164"/>
      <c r="HF309" s="164"/>
      <c r="HG309" s="181"/>
      <c r="HH309" s="164"/>
      <c r="HI309" s="164"/>
      <c r="HJ309" s="164"/>
      <c r="HK309" s="181"/>
      <c r="HL309" s="164"/>
      <c r="HM309" s="164"/>
      <c r="HN309" s="164"/>
      <c r="HO309" s="181"/>
      <c r="HP309" s="164"/>
      <c r="HQ309" s="164"/>
      <c r="HR309" s="164"/>
      <c r="HS309" s="181"/>
      <c r="HT309" s="164"/>
      <c r="HU309" s="164"/>
      <c r="HV309" s="164"/>
      <c r="HW309" s="181"/>
      <c r="HX309" s="164"/>
      <c r="HY309" s="164"/>
      <c r="HZ309" s="164"/>
      <c r="IA309" s="181"/>
      <c r="IB309" s="164"/>
      <c r="IC309" s="164"/>
      <c r="ID309" s="164"/>
      <c r="IE309" s="326"/>
      <c r="IF309" s="170"/>
      <c r="IG309" s="170"/>
      <c r="IH309" s="170"/>
    </row>
    <row r="310" spans="2:242" s="647" customFormat="1" ht="47.25" hidden="1" customHeight="1" x14ac:dyDescent="0.2">
      <c r="B310" s="646" t="s">
        <v>221</v>
      </c>
      <c r="C310" s="291" t="s">
        <v>401</v>
      </c>
      <c r="D310" s="641" t="s">
        <v>402</v>
      </c>
      <c r="E310" s="641" t="e">
        <f t="shared" si="691"/>
        <v>#REF!</v>
      </c>
      <c r="F310" s="641" t="e">
        <f>F311+#REF!</f>
        <v>#REF!</v>
      </c>
      <c r="G310" s="641" t="e">
        <f>G311+#REF!</f>
        <v>#REF!</v>
      </c>
      <c r="H310" s="641" t="e">
        <f t="shared" si="692"/>
        <v>#REF!</v>
      </c>
      <c r="I310" s="641" t="e">
        <f>I311+#REF!</f>
        <v>#REF!</v>
      </c>
      <c r="J310" s="641" t="e">
        <f>J311+#REF!</f>
        <v>#REF!</v>
      </c>
      <c r="K310" s="641" t="e">
        <f t="shared" si="693"/>
        <v>#REF!</v>
      </c>
      <c r="L310" s="641" t="e">
        <f>L311+#REF!</f>
        <v>#REF!</v>
      </c>
      <c r="M310" s="641" t="e">
        <f>M311+#REF!</f>
        <v>#REF!</v>
      </c>
      <c r="N310" s="641" t="e">
        <f t="shared" si="694"/>
        <v>#REF!</v>
      </c>
      <c r="O310" s="641" t="e">
        <f>O311+#REF!</f>
        <v>#REF!</v>
      </c>
      <c r="P310" s="641" t="e">
        <f>P311+#REF!</f>
        <v>#REF!</v>
      </c>
      <c r="Q310" s="641" t="e">
        <f t="shared" si="695"/>
        <v>#REF!</v>
      </c>
      <c r="R310" s="641" t="e">
        <f>R311+#REF!</f>
        <v>#REF!</v>
      </c>
      <c r="S310" s="641" t="e">
        <f>S311+#REF!</f>
        <v>#REF!</v>
      </c>
      <c r="T310" s="641" t="e">
        <f t="shared" si="696"/>
        <v>#REF!</v>
      </c>
      <c r="U310" s="641" t="e">
        <f>U311+#REF!</f>
        <v>#REF!</v>
      </c>
      <c r="V310" s="641" t="e">
        <f>V311+#REF!</f>
        <v>#REF!</v>
      </c>
      <c r="W310" s="641" t="e">
        <f t="shared" si="697"/>
        <v>#REF!</v>
      </c>
      <c r="X310" s="641" t="e">
        <f>X311+#REF!</f>
        <v>#REF!</v>
      </c>
      <c r="Y310" s="641" t="e">
        <f>Y311+#REF!</f>
        <v>#REF!</v>
      </c>
      <c r="Z310" s="641" t="e">
        <f>Z311+#REF!</f>
        <v>#REF!</v>
      </c>
      <c r="AA310" s="641" t="e">
        <f>AA311+#REF!</f>
        <v>#REF!</v>
      </c>
      <c r="AB310" s="641" t="e">
        <f>AB311+#REF!</f>
        <v>#REF!</v>
      </c>
      <c r="AC310" s="641" t="e">
        <f>AC311+#REF!</f>
        <v>#REF!</v>
      </c>
      <c r="AD310" s="641" t="e">
        <f>AD311+#REF!</f>
        <v>#REF!</v>
      </c>
      <c r="AE310" s="641" t="e">
        <f>AE311+#REF!</f>
        <v>#REF!</v>
      </c>
      <c r="AF310" s="641" t="e">
        <f>AF311+#REF!</f>
        <v>#REF!</v>
      </c>
      <c r="AG310" s="641" t="e">
        <f>AG311+#REF!</f>
        <v>#REF!</v>
      </c>
      <c r="AH310" s="641" t="e">
        <f>AH311+#REF!</f>
        <v>#REF!</v>
      </c>
      <c r="AI310" s="641" t="e">
        <f>AI311+#REF!</f>
        <v>#REF!</v>
      </c>
      <c r="AJ310" s="641" t="e">
        <f>AJ311+#REF!</f>
        <v>#REF!</v>
      </c>
      <c r="AK310" s="641" t="e">
        <f>AK311+#REF!</f>
        <v>#REF!</v>
      </c>
      <c r="AL310" s="641" t="e">
        <f>AL311+#REF!</f>
        <v>#REF!</v>
      </c>
      <c r="AM310" s="641" t="e">
        <f>AM311+#REF!</f>
        <v>#REF!</v>
      </c>
      <c r="AN310" s="641" t="e">
        <f>AN311+#REF!</f>
        <v>#REF!</v>
      </c>
      <c r="AO310" s="641">
        <v>1</v>
      </c>
      <c r="AP310" s="641" t="e">
        <f>AP311+#REF!</f>
        <v>#REF!</v>
      </c>
      <c r="AQ310" s="641" t="e">
        <f>AQ311+#REF!</f>
        <v>#REF!</v>
      </c>
      <c r="AR310" s="641" t="e">
        <f>AR311+#REF!</f>
        <v>#REF!</v>
      </c>
      <c r="AS310" s="641" t="e">
        <f>AT310+AU310</f>
        <v>#REF!</v>
      </c>
      <c r="AT310" s="641" t="e">
        <f>AT311+#REF!</f>
        <v>#REF!</v>
      </c>
      <c r="AU310" s="641" t="e">
        <f>AU311+#REF!</f>
        <v>#REF!</v>
      </c>
      <c r="AV310" s="641" t="e">
        <f>AW310+AX310</f>
        <v>#REF!</v>
      </c>
      <c r="AW310" s="641" t="e">
        <f>AW311+#REF!</f>
        <v>#REF!</v>
      </c>
      <c r="AX310" s="641" t="e">
        <f>AX311+#REF!</f>
        <v>#REF!</v>
      </c>
      <c r="AY310" s="641" t="e">
        <f>AZ310+BA310</f>
        <v>#REF!</v>
      </c>
      <c r="AZ310" s="641" t="e">
        <f>AZ311+#REF!</f>
        <v>#REF!</v>
      </c>
      <c r="BA310" s="641" t="e">
        <f>BA311+#REF!</f>
        <v>#REF!</v>
      </c>
      <c r="BB310" s="641" t="e">
        <f>BB311+#REF!</f>
        <v>#REF!</v>
      </c>
      <c r="BC310" s="641" t="e">
        <f>BC311+#REF!</f>
        <v>#REF!</v>
      </c>
      <c r="BD310" s="641" t="e">
        <f>BD311+#REF!</f>
        <v>#REF!</v>
      </c>
      <c r="BE310" s="641" t="e">
        <f>BE311+#REF!</f>
        <v>#REF!</v>
      </c>
      <c r="BF310" s="641" t="e">
        <f>BF311+#REF!</f>
        <v>#REF!</v>
      </c>
      <c r="BG310" s="641" t="e">
        <f>BG311+#REF!</f>
        <v>#REF!</v>
      </c>
      <c r="BH310" s="641" t="e">
        <f>BI310+BJ310</f>
        <v>#REF!</v>
      </c>
      <c r="BI310" s="641" t="e">
        <f>BI311+#REF!</f>
        <v>#REF!</v>
      </c>
      <c r="BJ310" s="641" t="e">
        <f>BJ311+#REF!</f>
        <v>#REF!</v>
      </c>
      <c r="BK310" s="641" t="e">
        <f>BK311+#REF!</f>
        <v>#REF!</v>
      </c>
      <c r="BL310" s="641" t="e">
        <f>BL311+#REF!</f>
        <v>#REF!</v>
      </c>
      <c r="BM310" s="641" t="e">
        <f>BM311+#REF!</f>
        <v>#REF!</v>
      </c>
      <c r="BN310" s="641" t="e">
        <f>BN311+#REF!</f>
        <v>#REF!</v>
      </c>
      <c r="BO310" s="641" t="e">
        <f>BO311+#REF!</f>
        <v>#REF!</v>
      </c>
      <c r="BP310" s="641" t="e">
        <f>BP311+#REF!</f>
        <v>#REF!</v>
      </c>
      <c r="BQ310" s="641" t="e">
        <f>BQ311+#REF!</f>
        <v>#REF!</v>
      </c>
      <c r="BR310" s="641" t="e">
        <f>BR311+#REF!</f>
        <v>#REF!</v>
      </c>
      <c r="BS310" s="641" t="e">
        <f>BS311+#REF!</f>
        <v>#REF!</v>
      </c>
      <c r="BT310" s="641" t="e">
        <f>BT311+#REF!</f>
        <v>#REF!</v>
      </c>
      <c r="BU310" s="641" t="e">
        <f>BU311+#REF!</f>
        <v>#REF!</v>
      </c>
      <c r="BV310" s="641" t="e">
        <f>BW310+BX310</f>
        <v>#REF!</v>
      </c>
      <c r="BW310" s="641" t="e">
        <f>BW311+#REF!</f>
        <v>#REF!</v>
      </c>
      <c r="BX310" s="641" t="e">
        <f>BX311+#REF!</f>
        <v>#REF!</v>
      </c>
      <c r="BY310" s="641" t="e">
        <f>BZ310+CA310</f>
        <v>#REF!</v>
      </c>
      <c r="BZ310" s="641" t="e">
        <f>BZ311+#REF!</f>
        <v>#REF!</v>
      </c>
      <c r="CA310" s="641" t="e">
        <f>CA311+#REF!</f>
        <v>#REF!</v>
      </c>
      <c r="CB310" s="641" t="e">
        <f>CC310+CD310</f>
        <v>#REF!</v>
      </c>
      <c r="CC310" s="641" t="e">
        <f>CC311+#REF!</f>
        <v>#REF!</v>
      </c>
      <c r="CD310" s="641" t="e">
        <f>CD311+#REF!</f>
        <v>#REF!</v>
      </c>
      <c r="CE310" s="641">
        <v>1</v>
      </c>
      <c r="CF310" s="641" t="e">
        <f>CF311+#REF!</f>
        <v>#REF!</v>
      </c>
      <c r="CG310" s="641"/>
      <c r="CH310" s="641" t="e">
        <f>CI310+CJ310</f>
        <v>#REF!</v>
      </c>
      <c r="CI310" s="641" t="e">
        <f>CI311+#REF!</f>
        <v>#REF!</v>
      </c>
      <c r="CJ310" s="641" t="e">
        <f>CJ311+#REF!</f>
        <v>#REF!</v>
      </c>
      <c r="CK310" s="641" t="e">
        <f>CL310+CM310</f>
        <v>#REF!</v>
      </c>
      <c r="CL310" s="641" t="e">
        <f>CL311+#REF!</f>
        <v>#REF!</v>
      </c>
      <c r="CM310" s="641" t="e">
        <f>CM311+#REF!</f>
        <v>#REF!</v>
      </c>
      <c r="CN310" s="641" t="e">
        <f>CO310+CP310</f>
        <v>#REF!</v>
      </c>
      <c r="CO310" s="641" t="e">
        <f>CO311+#REF!</f>
        <v>#REF!</v>
      </c>
      <c r="CP310" s="641" t="e">
        <f>CP311+#REF!</f>
        <v>#REF!</v>
      </c>
      <c r="CQ310" s="641" t="e">
        <f>CR310+CS310</f>
        <v>#REF!</v>
      </c>
      <c r="CR310" s="641" t="e">
        <f>CR311+#REF!</f>
        <v>#REF!</v>
      </c>
      <c r="CS310" s="641" t="e">
        <f>CS311+#REF!</f>
        <v>#REF!</v>
      </c>
      <c r="CT310" s="641" t="e">
        <f>CU310+CV310</f>
        <v>#REF!</v>
      </c>
      <c r="CU310" s="641" t="e">
        <f>CU311+#REF!</f>
        <v>#REF!</v>
      </c>
      <c r="CV310" s="641" t="e">
        <f>CV311+#REF!</f>
        <v>#REF!</v>
      </c>
      <c r="CW310" s="641" t="e">
        <f>CX310+CY310</f>
        <v>#REF!</v>
      </c>
      <c r="CX310" s="641" t="e">
        <f>CX311+#REF!</f>
        <v>#REF!</v>
      </c>
      <c r="CY310" s="641" t="e">
        <f>CY311+#REF!</f>
        <v>#REF!</v>
      </c>
      <c r="CZ310" s="641" t="e">
        <f>DA310+DB310</f>
        <v>#REF!</v>
      </c>
      <c r="DA310" s="641" t="e">
        <f>DA311+#REF!</f>
        <v>#REF!</v>
      </c>
      <c r="DB310" s="641" t="e">
        <f>DB311+#REF!</f>
        <v>#REF!</v>
      </c>
      <c r="DC310" s="641"/>
      <c r="DD310" s="641"/>
      <c r="DE310" s="641"/>
      <c r="DF310" s="641" t="e">
        <f>DG310+DH310</f>
        <v>#REF!</v>
      </c>
      <c r="DG310" s="641" t="e">
        <f>DG311+#REF!</f>
        <v>#REF!</v>
      </c>
      <c r="DH310" s="641" t="e">
        <f>DH311+#REF!</f>
        <v>#REF!</v>
      </c>
      <c r="DI310" s="192" t="e">
        <f t="shared" si="637"/>
        <v>#REF!</v>
      </c>
      <c r="DJ310" s="641" t="e">
        <f>DJ311+#REF!</f>
        <v>#REF!</v>
      </c>
      <c r="DK310" s="641" t="e">
        <f>DK311+#REF!</f>
        <v>#REF!</v>
      </c>
      <c r="DL310" s="641" t="e">
        <f>DM310+DN310</f>
        <v>#REF!</v>
      </c>
      <c r="DM310" s="641" t="e">
        <f>DM311+#REF!</f>
        <v>#REF!</v>
      </c>
      <c r="DN310" s="641" t="e">
        <f>DN311+#REF!</f>
        <v>#REF!</v>
      </c>
      <c r="DO310" s="641" t="e">
        <f>DP310+DQ310</f>
        <v>#REF!</v>
      </c>
      <c r="DP310" s="641" t="e">
        <f>DP311+#REF!</f>
        <v>#REF!</v>
      </c>
      <c r="DQ310" s="641" t="e">
        <f>DQ311+#REF!</f>
        <v>#REF!</v>
      </c>
      <c r="DR310" s="641" t="e">
        <f>DS310+DT310</f>
        <v>#REF!</v>
      </c>
      <c r="DS310" s="641" t="e">
        <f>DS311+#REF!</f>
        <v>#REF!</v>
      </c>
      <c r="DT310" s="641" t="e">
        <f>DT311+#REF!</f>
        <v>#REF!</v>
      </c>
      <c r="DU310" s="641" t="e">
        <f>DV310+DW310</f>
        <v>#REF!</v>
      </c>
      <c r="DV310" s="641" t="e">
        <f>DV311+#REF!</f>
        <v>#REF!</v>
      </c>
      <c r="DW310" s="641" t="e">
        <f>DW311+#REF!</f>
        <v>#REF!</v>
      </c>
      <c r="DX310" s="641" t="e">
        <f>DY310+DZ310</f>
        <v>#REF!</v>
      </c>
      <c r="DY310" s="641" t="e">
        <f>DY311+#REF!</f>
        <v>#REF!</v>
      </c>
      <c r="DZ310" s="641" t="e">
        <f>DZ311+#REF!</f>
        <v>#REF!</v>
      </c>
      <c r="EA310" s="641"/>
      <c r="EB310" s="641"/>
      <c r="EC310" s="641"/>
      <c r="ED310" s="192" t="e">
        <f>EE310+#REF!</f>
        <v>#REF!</v>
      </c>
      <c r="EE310" s="641" t="e">
        <f>EE311+#REF!</f>
        <v>#REF!</v>
      </c>
      <c r="EF310" s="641" t="e">
        <f>EF311+#REF!</f>
        <v>#REF!</v>
      </c>
      <c r="EG310" s="192" t="e">
        <f t="shared" si="672"/>
        <v>#REF!</v>
      </c>
      <c r="EH310" s="641" t="e">
        <f>EH311+#REF!</f>
        <v>#REF!</v>
      </c>
      <c r="EI310" s="641"/>
      <c r="EJ310" s="641" t="e">
        <f>EJ311+#REF!</f>
        <v>#REF!</v>
      </c>
      <c r="EK310" s="641" t="e">
        <f>EL310+EN310</f>
        <v>#REF!</v>
      </c>
      <c r="EL310" s="641" t="e">
        <f>EL311+#REF!</f>
        <v>#REF!</v>
      </c>
      <c r="EM310" s="641"/>
      <c r="EN310" s="641" t="e">
        <f>EN311+#REF!</f>
        <v>#REF!</v>
      </c>
      <c r="EO310" s="641" t="e">
        <f>EP310+ER310</f>
        <v>#REF!</v>
      </c>
      <c r="EP310" s="641" t="e">
        <f>EP311+#REF!</f>
        <v>#REF!</v>
      </c>
      <c r="EQ310" s="641"/>
      <c r="ER310" s="641" t="e">
        <f>ER311+#REF!</f>
        <v>#REF!</v>
      </c>
      <c r="ES310" s="641" t="e">
        <f>ET310+EV310</f>
        <v>#REF!</v>
      </c>
      <c r="ET310" s="641" t="e">
        <f>ET311+#REF!</f>
        <v>#REF!</v>
      </c>
      <c r="EU310" s="641"/>
      <c r="EV310" s="641" t="e">
        <f>EV311+#REF!</f>
        <v>#REF!</v>
      </c>
      <c r="EW310" s="641" t="e">
        <f>EX310+EY310</f>
        <v>#REF!</v>
      </c>
      <c r="EX310" s="641" t="e">
        <f>EX311+#REF!</f>
        <v>#REF!</v>
      </c>
      <c r="EY310" s="641" t="e">
        <f>EY311+#REF!</f>
        <v>#REF!</v>
      </c>
      <c r="EZ310" s="192" t="e">
        <f t="shared" si="638"/>
        <v>#REF!</v>
      </c>
      <c r="FA310" s="641" t="e">
        <f>FA311+#REF!</f>
        <v>#REF!</v>
      </c>
      <c r="FB310" s="641"/>
      <c r="FC310" s="201">
        <f t="shared" si="656"/>
        <v>623683.88783999998</v>
      </c>
      <c r="FD310" s="152">
        <f>FD311+FD312</f>
        <v>623683.88783999998</v>
      </c>
      <c r="FE310" s="152"/>
      <c r="FF310" s="152"/>
      <c r="FG310" s="152"/>
      <c r="FH310" s="152"/>
      <c r="FI310" s="152"/>
      <c r="FJ310" s="152"/>
      <c r="FK310" s="152"/>
      <c r="FL310" s="152"/>
      <c r="FM310" s="152"/>
      <c r="FN310" s="152"/>
      <c r="FO310" s="201"/>
      <c r="FP310" s="152"/>
      <c r="FQ310" s="152"/>
      <c r="FR310" s="152"/>
      <c r="FS310" s="152">
        <f>FU310</f>
        <v>442307.09935999999</v>
      </c>
      <c r="FT310" s="574">
        <f t="shared" si="640"/>
        <v>0.70918474564388545</v>
      </c>
      <c r="FU310" s="152">
        <f>FU311+FU312</f>
        <v>442307.09935999999</v>
      </c>
      <c r="FV310" s="574">
        <f t="shared" si="641"/>
        <v>0.70918474564388545</v>
      </c>
      <c r="FW310" s="658"/>
      <c r="FX310" s="574"/>
      <c r="FY310" s="658"/>
      <c r="FZ310" s="669"/>
      <c r="GA310" s="152">
        <f t="shared" si="699"/>
        <v>442307.09935999999</v>
      </c>
      <c r="GB310" s="574">
        <f>GA310/FC310</f>
        <v>0.70918474564388545</v>
      </c>
      <c r="GC310" s="152">
        <f>GC311+GC312</f>
        <v>442307.09935999999</v>
      </c>
      <c r="GD310" s="574">
        <f>GC310/FD310</f>
        <v>0.70918474564388545</v>
      </c>
      <c r="GE310" s="659"/>
      <c r="GF310" s="574"/>
      <c r="GG310" s="152"/>
      <c r="GH310" s="574"/>
      <c r="GI310" s="152">
        <f>GK310</f>
        <v>533936.12922999996</v>
      </c>
      <c r="GJ310" s="574">
        <f t="shared" si="658"/>
        <v>0.85610056575162974</v>
      </c>
      <c r="GK310" s="152">
        <f>GK311+GK312</f>
        <v>533936.12922999996</v>
      </c>
      <c r="GL310" s="574">
        <f t="shared" si="659"/>
        <v>0.85610056575162974</v>
      </c>
      <c r="GM310" s="152"/>
      <c r="GN310" s="574"/>
      <c r="GO310" s="152"/>
      <c r="GP310" s="574"/>
      <c r="GQ310" s="641"/>
      <c r="GR310" s="641"/>
      <c r="GS310" s="641"/>
      <c r="GT310" s="641"/>
      <c r="GU310" s="192" t="e">
        <f t="shared" si="660"/>
        <v>#REF!</v>
      </c>
      <c r="GV310" s="641" t="e">
        <f>GV311+#REF!</f>
        <v>#REF!</v>
      </c>
      <c r="GW310" s="641"/>
      <c r="GX310" s="641" t="e">
        <f>GX311+#REF!</f>
        <v>#REF!</v>
      </c>
      <c r="GY310" s="641"/>
      <c r="GZ310" s="641"/>
      <c r="HA310" s="641"/>
      <c r="HB310" s="641"/>
      <c r="HC310" s="641"/>
      <c r="HD310" s="641"/>
      <c r="HE310" s="641"/>
      <c r="HF310" s="641"/>
      <c r="HG310" s="192" t="e">
        <f t="shared" si="661"/>
        <v>#REF!</v>
      </c>
      <c r="HH310" s="641" t="e">
        <f>HH311+#REF!</f>
        <v>#REF!</v>
      </c>
      <c r="HI310" s="641"/>
      <c r="HJ310" s="641" t="e">
        <f>HJ311+#REF!</f>
        <v>#REF!</v>
      </c>
      <c r="HK310" s="192" t="e">
        <f t="shared" si="662"/>
        <v>#REF!</v>
      </c>
      <c r="HL310" s="641" t="e">
        <f>HL311+#REF!</f>
        <v>#REF!</v>
      </c>
      <c r="HM310" s="641"/>
      <c r="HN310" s="641" t="e">
        <f>HN311+#REF!</f>
        <v>#REF!</v>
      </c>
      <c r="HO310" s="192" t="e">
        <f t="shared" si="678"/>
        <v>#REF!</v>
      </c>
      <c r="HP310" s="641" t="e">
        <f>HP311+#REF!</f>
        <v>#REF!</v>
      </c>
      <c r="HQ310" s="641"/>
      <c r="HR310" s="641"/>
      <c r="HS310" s="192" t="e">
        <f t="shared" si="663"/>
        <v>#REF!</v>
      </c>
      <c r="HT310" s="641" t="e">
        <f>HT311+#REF!</f>
        <v>#REF!</v>
      </c>
      <c r="HU310" s="641"/>
      <c r="HV310" s="641" t="e">
        <f>HV311+#REF!</f>
        <v>#REF!</v>
      </c>
      <c r="HW310" s="192" t="e">
        <f t="shared" si="664"/>
        <v>#REF!</v>
      </c>
      <c r="HX310" s="641" t="e">
        <f>HX311+#REF!</f>
        <v>#REF!</v>
      </c>
      <c r="HY310" s="641"/>
      <c r="HZ310" s="641" t="e">
        <f>HZ311+#REF!</f>
        <v>#REF!</v>
      </c>
      <c r="IA310" s="192" t="e">
        <f t="shared" si="665"/>
        <v>#REF!</v>
      </c>
      <c r="IB310" s="641" t="e">
        <f>IB311+#REF!</f>
        <v>#REF!</v>
      </c>
      <c r="IC310" s="641"/>
      <c r="ID310" s="641" t="e">
        <f>ID311+#REF!</f>
        <v>#REF!</v>
      </c>
      <c r="IE310" s="302"/>
      <c r="IF310" s="219"/>
      <c r="IG310" s="219"/>
      <c r="IH310" s="219"/>
    </row>
    <row r="311" spans="2:242" s="213" customFormat="1" ht="30.75" hidden="1" customHeight="1" x14ac:dyDescent="0.25">
      <c r="B311" s="324"/>
      <c r="C311" s="164" t="s">
        <v>330</v>
      </c>
      <c r="D311" s="325" t="s">
        <v>403</v>
      </c>
      <c r="E311" s="181">
        <f t="shared" si="691"/>
        <v>577661.34471999994</v>
      </c>
      <c r="F311" s="181">
        <f>SUM(F313:F322)</f>
        <v>543133.17593999999</v>
      </c>
      <c r="G311" s="181">
        <f>SUM(G313:G322)</f>
        <v>34528.16878</v>
      </c>
      <c r="H311" s="181">
        <f t="shared" si="692"/>
        <v>-532.77712000000247</v>
      </c>
      <c r="I311" s="181">
        <f>SUM(I313:I322)</f>
        <v>-532.77712000000247</v>
      </c>
      <c r="J311" s="181">
        <f>SUM(J313:J322)</f>
        <v>0</v>
      </c>
      <c r="K311" s="181">
        <f t="shared" si="693"/>
        <v>577128.56759999995</v>
      </c>
      <c r="L311" s="181">
        <f>SUM(L313:L322)</f>
        <v>542600.39882</v>
      </c>
      <c r="M311" s="181">
        <f>SUM(M313:M322)</f>
        <v>34528.16878</v>
      </c>
      <c r="N311" s="181">
        <f t="shared" si="694"/>
        <v>0</v>
      </c>
      <c r="O311" s="181">
        <f>SUM(O313:O322)</f>
        <v>0</v>
      </c>
      <c r="P311" s="181">
        <f>SUM(P313:P322)</f>
        <v>0</v>
      </c>
      <c r="Q311" s="181">
        <f t="shared" si="695"/>
        <v>577128.56759999995</v>
      </c>
      <c r="R311" s="181">
        <f>SUM(R313:R322)</f>
        <v>542600.39882</v>
      </c>
      <c r="S311" s="181">
        <f>SUM(S313:S322)</f>
        <v>34528.16878</v>
      </c>
      <c r="T311" s="181">
        <f t="shared" si="696"/>
        <v>300000</v>
      </c>
      <c r="U311" s="181">
        <f>SUM(U313:U322)</f>
        <v>0</v>
      </c>
      <c r="V311" s="181">
        <f>SUM(V313:V322)</f>
        <v>300000</v>
      </c>
      <c r="W311" s="181">
        <f t="shared" si="697"/>
        <v>-30090.283690000011</v>
      </c>
      <c r="X311" s="181">
        <f>SUM(X313:X322)</f>
        <v>269909.71630999999</v>
      </c>
      <c r="Y311" s="181">
        <f>SUM(Y313:Y322)</f>
        <v>-300000</v>
      </c>
      <c r="Z311" s="181" t="e">
        <f>#REF!+Z313+Z316+Z317+Z319+Z322</f>
        <v>#REF!</v>
      </c>
      <c r="AA311" s="181" t="e">
        <f>#REF!+AA313+AA316+AA317+AA319+AA322</f>
        <v>#REF!</v>
      </c>
      <c r="AB311" s="181" t="e">
        <f>#REF!+AB313+AB316+AB317+AB319+AB322</f>
        <v>#REF!</v>
      </c>
      <c r="AC311" s="181" t="e">
        <f>#REF!+AC313+AC316+AC317+AC319+AC322</f>
        <v>#REF!</v>
      </c>
      <c r="AD311" s="181" t="e">
        <f>#REF!+AD313+AD316+AD317+AD319+AD322</f>
        <v>#REF!</v>
      </c>
      <c r="AE311" s="181" t="e">
        <f>#REF!+AE313+AE316+AE317+AE319+AE322</f>
        <v>#REF!</v>
      </c>
      <c r="AF311" s="181" t="e">
        <f>#REF!+AF313+AF316+AF317+AF319+AF322</f>
        <v>#REF!</v>
      </c>
      <c r="AG311" s="181" t="e">
        <f>#REF!+AG313+AG316+AG317+AG319+AG322</f>
        <v>#REF!</v>
      </c>
      <c r="AH311" s="181" t="e">
        <f>#REF!+AH313+AH316+AH317+AH319+AH322</f>
        <v>#REF!</v>
      </c>
      <c r="AI311" s="181" t="e">
        <f>#REF!+AI313+AI316+AI317+AI319+AI322</f>
        <v>#REF!</v>
      </c>
      <c r="AJ311" s="181" t="e">
        <f>#REF!+AJ313+AJ316+AJ317+AJ319+AJ322</f>
        <v>#REF!</v>
      </c>
      <c r="AK311" s="181" t="e">
        <f>#REF!+AK313+AK316+AK317+AK319+AK322</f>
        <v>#REF!</v>
      </c>
      <c r="AL311" s="181" t="e">
        <f>#REF!+AL313+AL316+AL317+AL319+AL322</f>
        <v>#REF!</v>
      </c>
      <c r="AM311" s="181" t="e">
        <f>#REF!+AM313+AM316+AM317+AM319+AM322</f>
        <v>#REF!</v>
      </c>
      <c r="AN311" s="181" t="e">
        <f>#REF!+AN313+AN316+AN317+AN319+AN322</f>
        <v>#REF!</v>
      </c>
      <c r="AO311" s="181">
        <v>1</v>
      </c>
      <c r="AP311" s="181" t="e">
        <f>#REF!+AP313+AP316+AP317+AP319+AP322</f>
        <v>#REF!</v>
      </c>
      <c r="AQ311" s="181" t="e">
        <f>#REF!+AQ313+AQ316+AQ317+AQ319+AQ322</f>
        <v>#REF!</v>
      </c>
      <c r="AR311" s="181" t="e">
        <f>#REF!+AR313+AR316+AR317+AR319+AR322</f>
        <v>#REF!</v>
      </c>
      <c r="AS311" s="181" t="e">
        <f>#REF!+AS313+AS316+AS317+AS319+AS322</f>
        <v>#REF!</v>
      </c>
      <c r="AT311" s="181" t="e">
        <f>#REF!+AT313+AT316+AT317+AT319+AT322</f>
        <v>#REF!</v>
      </c>
      <c r="AU311" s="181" t="e">
        <f>#REF!+AU313+AU316+AU317+AU319+AU322</f>
        <v>#REF!</v>
      </c>
      <c r="AV311" s="181" t="e">
        <f>#REF!+AV313+AV316+AV317+AV319+AV322</f>
        <v>#REF!</v>
      </c>
      <c r="AW311" s="181" t="e">
        <f>#REF!+AW313+AW316+AW317+AW319+AW322</f>
        <v>#REF!</v>
      </c>
      <c r="AX311" s="181" t="e">
        <f>#REF!+AX313+AX316+AX317+AX319+AX322</f>
        <v>#REF!</v>
      </c>
      <c r="AY311" s="181" t="e">
        <f>#REF!+AY313+AY316+AY317+AY319+AY322</f>
        <v>#REF!</v>
      </c>
      <c r="AZ311" s="181" t="e">
        <f>#REF!+AZ313+AZ316+AZ317+AZ319+AZ322</f>
        <v>#REF!</v>
      </c>
      <c r="BA311" s="181" t="e">
        <f>#REF!+BA313+BA316+BA317+BA319+BA322</f>
        <v>#REF!</v>
      </c>
      <c r="BB311" s="181" t="e">
        <f>#REF!+BB313+BB316+BB317+BB319+BB322</f>
        <v>#REF!</v>
      </c>
      <c r="BC311" s="181" t="e">
        <f>#REF!+BC313+BC316+BC317+BC319+BC322</f>
        <v>#REF!</v>
      </c>
      <c r="BD311" s="181" t="e">
        <f>#REF!+BD313+BD316+BD317+BD319+BD322</f>
        <v>#REF!</v>
      </c>
      <c r="BE311" s="181" t="e">
        <f>#REF!+BE313+BE316+BE317+BE319+BE322</f>
        <v>#REF!</v>
      </c>
      <c r="BF311" s="181" t="e">
        <f>#REF!+BF313+BF316+BF317+BF319+BF322</f>
        <v>#REF!</v>
      </c>
      <c r="BG311" s="181" t="e">
        <f>#REF!+BG313+BG316+BG317+BG319+BG322</f>
        <v>#REF!</v>
      </c>
      <c r="BH311" s="181" t="e">
        <f>#REF!+BH313+BH316+BH317+BH319+BH322</f>
        <v>#REF!</v>
      </c>
      <c r="BI311" s="181" t="e">
        <f>#REF!+BI313+BI316+BI317+BI319+BI322</f>
        <v>#REF!</v>
      </c>
      <c r="BJ311" s="181" t="e">
        <f>#REF!+BJ313+BJ316+BJ317+BJ319+BJ322</f>
        <v>#REF!</v>
      </c>
      <c r="BK311" s="181" t="e">
        <f>#REF!+BK313+BK316+BK317+BK319+BK322</f>
        <v>#REF!</v>
      </c>
      <c r="BL311" s="181" t="e">
        <f>#REF!+BL313+BL316+BL317+BL319+BL322</f>
        <v>#REF!</v>
      </c>
      <c r="BM311" s="181" t="e">
        <f>#REF!+BM313+BM316+BM317+BM319+BM322</f>
        <v>#REF!</v>
      </c>
      <c r="BN311" s="181" t="e">
        <f>#REF!+BN313+BN316+BN317+BN319+BN322</f>
        <v>#REF!</v>
      </c>
      <c r="BO311" s="181" t="e">
        <f>#REF!+BO313+BO316+BO317+BO319+BO322</f>
        <v>#REF!</v>
      </c>
      <c r="BP311" s="181" t="e">
        <f>#REF!+BP313+BP316+BP317+BP319+BP322</f>
        <v>#REF!</v>
      </c>
      <c r="BQ311" s="181" t="e">
        <f>#REF!+BQ313+BQ316+BQ317+BQ319+BQ322</f>
        <v>#REF!</v>
      </c>
      <c r="BR311" s="181" t="e">
        <f>#REF!+BR313+BR316+BR317+BR319+BR322</f>
        <v>#REF!</v>
      </c>
      <c r="BS311" s="181" t="e">
        <f>#REF!+BS313+BS316+BS317+BS319+BS322</f>
        <v>#REF!</v>
      </c>
      <c r="BT311" s="181" t="e">
        <f>#REF!+BT313+BT316+BT317+BT319+BT322</f>
        <v>#REF!</v>
      </c>
      <c r="BU311" s="181" t="e">
        <f>#REF!+BU313+BU316+BU317+BU319+BU322</f>
        <v>#REF!</v>
      </c>
      <c r="BV311" s="181" t="e">
        <f>#REF!+BV313+BV316+BV317+BV319+BV322</f>
        <v>#REF!</v>
      </c>
      <c r="BW311" s="181" t="e">
        <f>#REF!+BW313+BW316+BW317+BW319+BW322</f>
        <v>#REF!</v>
      </c>
      <c r="BX311" s="181" t="e">
        <f>#REF!+BX313+BX316+BX317+BX319+BX322</f>
        <v>#REF!</v>
      </c>
      <c r="BY311" s="181" t="e">
        <f>#REF!+BY313+BY316+BY317+BY319+BY322</f>
        <v>#REF!</v>
      </c>
      <c r="BZ311" s="181" t="e">
        <f>#REF!+BZ313+BZ316+BZ317+BZ319+BZ322</f>
        <v>#REF!</v>
      </c>
      <c r="CA311" s="181" t="e">
        <f>#REF!+CA313+CA316+CA317+CA319+CA322</f>
        <v>#REF!</v>
      </c>
      <c r="CB311" s="181" t="e">
        <f>#REF!+CB313+CB316+CB317+CB319+CB322</f>
        <v>#REF!</v>
      </c>
      <c r="CC311" s="181" t="e">
        <f>#REF!+CC313+CC316+CC317+CC319+CC322</f>
        <v>#REF!</v>
      </c>
      <c r="CD311" s="181" t="e">
        <f>#REF!+CD313+CD316+CD317+CD319+CD322</f>
        <v>#REF!</v>
      </c>
      <c r="CE311" s="181">
        <v>1</v>
      </c>
      <c r="CF311" s="181" t="e">
        <f t="shared" ref="CF311:CF319" si="700">BV311</f>
        <v>#REF!</v>
      </c>
      <c r="CG311" s="181"/>
      <c r="CH311" s="181" t="e">
        <f>#REF!+CH313+CH316+CH317+CH319+CH322</f>
        <v>#REF!</v>
      </c>
      <c r="CI311" s="181" t="e">
        <f>#REF!+CI313+CI316+CI317+CI319+CI322</f>
        <v>#REF!</v>
      </c>
      <c r="CJ311" s="181" t="e">
        <f>#REF!+CJ313+CJ316+CJ317+CJ319+CJ322</f>
        <v>#REF!</v>
      </c>
      <c r="CK311" s="181" t="e">
        <f>#REF!+CK313+CK316+CK317+CK319+CK322</f>
        <v>#REF!</v>
      </c>
      <c r="CL311" s="181" t="e">
        <f>#REF!+CL313+CL316+CL317+CL319+CL322</f>
        <v>#REF!</v>
      </c>
      <c r="CM311" s="181" t="e">
        <f>#REF!+CM313+CM316+CM317+CM319+CM322</f>
        <v>#REF!</v>
      </c>
      <c r="CN311" s="181" t="e">
        <f>#REF!+CN313+CN316+CN317+CN319+CN322</f>
        <v>#REF!</v>
      </c>
      <c r="CO311" s="181" t="e">
        <f>#REF!+CO313+CO316+CO317+CO319+CO322</f>
        <v>#REF!</v>
      </c>
      <c r="CP311" s="181" t="e">
        <f>#REF!+CP313+CP316+CP317+CP319+CP322</f>
        <v>#REF!</v>
      </c>
      <c r="CQ311" s="181" t="e">
        <f>#REF!+CQ313+CQ316+CQ317+CQ319+CQ322</f>
        <v>#REF!</v>
      </c>
      <c r="CR311" s="181" t="e">
        <f>#REF!+CR313+CR316+CR317+CR319+CR322</f>
        <v>#REF!</v>
      </c>
      <c r="CS311" s="181" t="e">
        <f>#REF!+CS313+CS316+CS317+CS319+CS322</f>
        <v>#REF!</v>
      </c>
      <c r="CT311" s="181" t="e">
        <f>#REF!+CT313+CT316+CT317+CT319+CT322</f>
        <v>#REF!</v>
      </c>
      <c r="CU311" s="181" t="e">
        <f>#REF!+CU313+CU316+CU317+CU319+CU322</f>
        <v>#REF!</v>
      </c>
      <c r="CV311" s="181" t="e">
        <f>#REF!+CV313+CV316+CV317+CV319+CV322</f>
        <v>#REF!</v>
      </c>
      <c r="CW311" s="181">
        <f>CX311</f>
        <v>567891.13361000002</v>
      </c>
      <c r="CX311" s="181">
        <f>CX313+CX316+CX317+CX319+CX322+CX323+CX326+CX328</f>
        <v>567891.13361000002</v>
      </c>
      <c r="CY311" s="181">
        <f>CY313+CY316+CY317+CY319+CY322+CY326</f>
        <v>0</v>
      </c>
      <c r="CZ311" s="181">
        <f>CZ313+CZ316+CZ317+CZ319+CZ322+CZ326</f>
        <v>500000</v>
      </c>
      <c r="DA311" s="181">
        <f>DA313+DA316+DA317+DA319+DA322+DA326</f>
        <v>500000</v>
      </c>
      <c r="DB311" s="181">
        <f>DB313+DB316+DB317+DB319+DB322+DB326</f>
        <v>0</v>
      </c>
      <c r="DC311" s="181"/>
      <c r="DD311" s="181"/>
      <c r="DE311" s="181"/>
      <c r="DF311" s="181">
        <f t="shared" ref="DF311:DF328" si="701">DG311</f>
        <v>-27165</v>
      </c>
      <c r="DG311" s="181">
        <f>DG313+DG316+DG317+DG319+DG322+DG323+DG326+DG328</f>
        <v>-27165</v>
      </c>
      <c r="DH311" s="181">
        <f>DH313+DH316+DH317+DH319+DH322+DH326</f>
        <v>0</v>
      </c>
      <c r="DI311" s="181">
        <f t="shared" si="637"/>
        <v>540726.13361000002</v>
      </c>
      <c r="DJ311" s="181">
        <f>DJ313+DJ316+DJ317+DJ319+DJ322+DJ323+DJ326+DJ328</f>
        <v>540726.13361000002</v>
      </c>
      <c r="DK311" s="181">
        <f t="shared" ref="DK311:FB311" si="702">DK313+DK316+DK317+DK319+DK322+DK323+DK326+DK328</f>
        <v>0</v>
      </c>
      <c r="DL311" s="181" t="e">
        <f t="shared" si="702"/>
        <v>#REF!</v>
      </c>
      <c r="DM311" s="181">
        <f t="shared" si="702"/>
        <v>241629.33822000003</v>
      </c>
      <c r="DN311" s="181">
        <f t="shared" si="702"/>
        <v>0</v>
      </c>
      <c r="DO311" s="181" t="e">
        <f t="shared" si="702"/>
        <v>#REF!</v>
      </c>
      <c r="DP311" s="181">
        <f t="shared" si="702"/>
        <v>199579.87901</v>
      </c>
      <c r="DQ311" s="181">
        <f t="shared" si="702"/>
        <v>0</v>
      </c>
      <c r="DR311" s="181" t="e">
        <f t="shared" si="702"/>
        <v>#REF!</v>
      </c>
      <c r="DS311" s="181">
        <f t="shared" si="702"/>
        <v>99516.916379999995</v>
      </c>
      <c r="DT311" s="181">
        <f t="shared" si="702"/>
        <v>0</v>
      </c>
      <c r="DU311" s="181">
        <f t="shared" si="702"/>
        <v>479300</v>
      </c>
      <c r="DV311" s="181" t="e">
        <f>DV313+DV316+DV317+DV319+DV322+DV323+DV326+DV328+#REF!</f>
        <v>#REF!</v>
      </c>
      <c r="DW311" s="181">
        <f t="shared" si="702"/>
        <v>0</v>
      </c>
      <c r="DX311" s="181">
        <f t="shared" si="702"/>
        <v>510000</v>
      </c>
      <c r="DY311" s="181">
        <f t="shared" si="702"/>
        <v>510000</v>
      </c>
      <c r="DZ311" s="181">
        <f t="shared" si="702"/>
        <v>0</v>
      </c>
      <c r="EA311" s="181">
        <f t="shared" si="702"/>
        <v>0</v>
      </c>
      <c r="EB311" s="181">
        <f t="shared" si="702"/>
        <v>0</v>
      </c>
      <c r="EC311" s="181">
        <f t="shared" si="702"/>
        <v>0</v>
      </c>
      <c r="ED311" s="181" t="e">
        <f>EE311</f>
        <v>#REF!</v>
      </c>
      <c r="EE311" s="181" t="e">
        <f>EE313+EE316+EE317+EE319+EE322+EE323+EE326+EE328+#REF!</f>
        <v>#REF!</v>
      </c>
      <c r="EF311" s="181">
        <f t="shared" si="702"/>
        <v>0</v>
      </c>
      <c r="EG311" s="181">
        <f t="shared" si="702"/>
        <v>524254.97752999997</v>
      </c>
      <c r="EH311" s="181" t="e">
        <f>EH313+EH316+EH317+EH319+EH322+EH323+EH326+EH328+#REF!</f>
        <v>#REF!</v>
      </c>
      <c r="EI311" s="181"/>
      <c r="EJ311" s="181">
        <f>EJ313+EJ316+EJ317+EJ319+EJ322+EJ323+EJ326+EJ328</f>
        <v>0</v>
      </c>
      <c r="EK311" s="181">
        <f t="shared" si="702"/>
        <v>-16654.97753</v>
      </c>
      <c r="EL311" s="181" t="e">
        <f>EL313+EL316+EL317+EL319+EL322+EL323+EL326+EL328+#REF!</f>
        <v>#REF!</v>
      </c>
      <c r="EM311" s="181"/>
      <c r="EN311" s="181">
        <f t="shared" si="702"/>
        <v>0</v>
      </c>
      <c r="EO311" s="181">
        <f t="shared" si="702"/>
        <v>0</v>
      </c>
      <c r="EP311" s="181">
        <f t="shared" si="702"/>
        <v>0</v>
      </c>
      <c r="EQ311" s="181"/>
      <c r="ER311" s="181">
        <f>ER313+ER316+ER317+ER319+ER322+ER323+ER326+ER328</f>
        <v>0</v>
      </c>
      <c r="ES311" s="181">
        <f t="shared" si="702"/>
        <v>0</v>
      </c>
      <c r="ET311" s="181" t="e">
        <f>ET313+ET316+ET317+ET319+ET322+ET323+ET326+ET328+#REF!</f>
        <v>#REF!</v>
      </c>
      <c r="EU311" s="181"/>
      <c r="EV311" s="181">
        <f t="shared" si="702"/>
        <v>0</v>
      </c>
      <c r="EW311" s="181" t="e">
        <f>EX311</f>
        <v>#REF!</v>
      </c>
      <c r="EX311" s="181" t="e">
        <f>EX313+EX316+EX317+EX319+EX322+EX323+EX326+EX328+#REF!</f>
        <v>#REF!</v>
      </c>
      <c r="EY311" s="181">
        <f t="shared" si="702"/>
        <v>0</v>
      </c>
      <c r="EZ311" s="181" t="e">
        <f>FA311</f>
        <v>#REF!</v>
      </c>
      <c r="FA311" s="181" t="e">
        <f>FA313+FA316+FA317+FA319+FA322+FA323+FA326+FA328+#REF!</f>
        <v>#REF!</v>
      </c>
      <c r="FB311" s="181">
        <f t="shared" si="702"/>
        <v>0</v>
      </c>
      <c r="FC311" s="180">
        <f>FD311</f>
        <v>608150.98783999996</v>
      </c>
      <c r="FD311" s="163">
        <f>FD314+FD316+FD320+FD324+FD327+FD331+FD318</f>
        <v>608150.98783999996</v>
      </c>
      <c r="FE311" s="180"/>
      <c r="FF311" s="180"/>
      <c r="FG311" s="180"/>
      <c r="FH311" s="180"/>
      <c r="FI311" s="180"/>
      <c r="FJ311" s="180"/>
      <c r="FK311" s="180"/>
      <c r="FL311" s="180"/>
      <c r="FM311" s="180"/>
      <c r="FN311" s="180"/>
      <c r="FO311" s="180"/>
      <c r="FP311" s="180"/>
      <c r="FQ311" s="180"/>
      <c r="FR311" s="180"/>
      <c r="FS311" s="143">
        <f>FU311</f>
        <v>441069.19406000001</v>
      </c>
      <c r="FT311" s="575">
        <f t="shared" si="640"/>
        <v>0.72526264509832883</v>
      </c>
      <c r="FU311" s="163">
        <f>FU314+FU316+FU320+FU322+FU324+FU327</f>
        <v>441069.19406000001</v>
      </c>
      <c r="FV311" s="577">
        <f t="shared" si="641"/>
        <v>0.72526264509832883</v>
      </c>
      <c r="FW311" s="181"/>
      <c r="FX311" s="577"/>
      <c r="FY311" s="181"/>
      <c r="FZ311" s="672"/>
      <c r="GA311" s="163">
        <f t="shared" si="699"/>
        <v>441069.19406000001</v>
      </c>
      <c r="GB311" s="577">
        <f>GA311/FC311</f>
        <v>0.72526264509832883</v>
      </c>
      <c r="GC311" s="163">
        <f>GC314+GC316+GC320+GC324+GC327+GC331</f>
        <v>441069.19406000001</v>
      </c>
      <c r="GD311" s="577">
        <f>GC311/FD311</f>
        <v>0.72526264509832883</v>
      </c>
      <c r="GE311" s="181"/>
      <c r="GF311" s="577"/>
      <c r="GG311" s="180"/>
      <c r="GH311" s="577"/>
      <c r="GI311" s="103">
        <f t="shared" ref="GI311:GI331" si="703">GK311</f>
        <v>532698.22392999998</v>
      </c>
      <c r="GJ311" s="577">
        <f t="shared" si="658"/>
        <v>0.87593087009857651</v>
      </c>
      <c r="GK311" s="163">
        <f>GK314+GK316+GK320+GK324+GK327+GK331</f>
        <v>532698.22392999998</v>
      </c>
      <c r="GL311" s="577">
        <f t="shared" si="659"/>
        <v>0.87593087009857651</v>
      </c>
      <c r="GM311" s="180"/>
      <c r="GN311" s="577"/>
      <c r="GO311" s="180"/>
      <c r="GP311" s="577"/>
      <c r="GQ311" s="181"/>
      <c r="GR311" s="181"/>
      <c r="GS311" s="181"/>
      <c r="GT311" s="181"/>
      <c r="GU311" s="181">
        <f>GU313+GU316+GU317+GU319+GU322+GU323+GU326+GU328</f>
        <v>510000</v>
      </c>
      <c r="GV311" s="181" t="e">
        <f>GV313+GV316+GV317+GV319+GV322+GV323+GV326+GV328+#REF!</f>
        <v>#REF!</v>
      </c>
      <c r="GW311" s="181"/>
      <c r="GX311" s="181">
        <f>GX313+GX316+GX317+GX319+GX322+GX323+GX326+GX328</f>
        <v>0</v>
      </c>
      <c r="GY311" s="181"/>
      <c r="GZ311" s="181"/>
      <c r="HA311" s="181"/>
      <c r="HB311" s="181"/>
      <c r="HC311" s="181"/>
      <c r="HD311" s="181"/>
      <c r="HE311" s="181"/>
      <c r="HF311" s="181"/>
      <c r="HG311" s="181">
        <f>HG313+HG316+HG317+HG319+HG322+HG323+HG326+HG328</f>
        <v>0</v>
      </c>
      <c r="HH311" s="181" t="e">
        <f>HH313+HH316+HH317+HH319+HH322+HH323+HH326+HH328+#REF!</f>
        <v>#REF!</v>
      </c>
      <c r="HI311" s="181"/>
      <c r="HJ311" s="181">
        <f t="shared" ref="HJ311:HO311" si="704">HJ313+HJ316+HJ317+HJ319+HJ322+HJ323+HJ326+HJ328</f>
        <v>0</v>
      </c>
      <c r="HK311" s="181">
        <f t="shared" si="704"/>
        <v>0</v>
      </c>
      <c r="HL311" s="181" t="e">
        <f>HL313+HL316+HL317+HL319+HL322+HL323+HL326+HL328+#REF!</f>
        <v>#REF!</v>
      </c>
      <c r="HM311" s="181"/>
      <c r="HN311" s="181">
        <f>HN313+HN316+HN317+HN319+HN322+HN323+HN326+HN328</f>
        <v>0</v>
      </c>
      <c r="HO311" s="181">
        <f t="shared" si="704"/>
        <v>510000</v>
      </c>
      <c r="HP311" s="181" t="e">
        <f>HP313+HP316+HP317+HP319+HP322+HP323+HP326+HP328+#REF!</f>
        <v>#REF!</v>
      </c>
      <c r="HQ311" s="181"/>
      <c r="HR311" s="181"/>
      <c r="HS311" s="181" t="e">
        <f>HT311</f>
        <v>#REF!</v>
      </c>
      <c r="HT311" s="181" t="e">
        <f>HT313+HT316+HT317+HT319+HT322+HT323+HT326+HT328+#REF!</f>
        <v>#REF!</v>
      </c>
      <c r="HU311" s="181"/>
      <c r="HV311" s="181">
        <f>HV313+HV316+HV317+HV319+HV322+HV323+HV326+HV328</f>
        <v>0</v>
      </c>
      <c r="HW311" s="181">
        <f>HW313+HW316+HW317+HW319+HW322+HW323+HW326+HW328</f>
        <v>0</v>
      </c>
      <c r="HX311" s="181" t="e">
        <f>HX313+HX316+HX317+HX319+HX322+HX323+HX326+HX328+#REF!</f>
        <v>#REF!</v>
      </c>
      <c r="HY311" s="181"/>
      <c r="HZ311" s="181">
        <f>HZ313+HZ316+HZ317+HZ319+HZ322+HZ323+HZ326+HZ328</f>
        <v>0</v>
      </c>
      <c r="IA311" s="181" t="e">
        <f>IB311</f>
        <v>#REF!</v>
      </c>
      <c r="IB311" s="181" t="e">
        <f>IB313+IB316+IB317+IB319+IB322+IB323+IB326+IB328+#REF!</f>
        <v>#REF!</v>
      </c>
      <c r="IC311" s="181"/>
      <c r="ID311" s="181">
        <f>ID313+ID316+ID317+ID319+ID322+ID323+ID326+ID328</f>
        <v>0</v>
      </c>
      <c r="IE311" s="321"/>
      <c r="IF311" s="183"/>
      <c r="IG311" s="183"/>
      <c r="IH311" s="183"/>
    </row>
    <row r="312" spans="2:242" s="213" customFormat="1" ht="36" hidden="1" customHeight="1" x14ac:dyDescent="0.25">
      <c r="B312" s="324"/>
      <c r="C312" s="164" t="s">
        <v>172</v>
      </c>
      <c r="D312" s="325"/>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c r="AB312" s="181"/>
      <c r="AC312" s="181"/>
      <c r="AD312" s="181"/>
      <c r="AE312" s="181"/>
      <c r="AF312" s="181"/>
      <c r="AG312" s="181"/>
      <c r="AH312" s="181"/>
      <c r="AI312" s="181"/>
      <c r="AJ312" s="181"/>
      <c r="AK312" s="181"/>
      <c r="AL312" s="181"/>
      <c r="AM312" s="181"/>
      <c r="AN312" s="181"/>
      <c r="AO312" s="181"/>
      <c r="AP312" s="181"/>
      <c r="AQ312" s="181"/>
      <c r="AR312" s="181"/>
      <c r="AS312" s="181"/>
      <c r="AT312" s="181"/>
      <c r="AU312" s="181"/>
      <c r="AV312" s="181"/>
      <c r="AW312" s="181"/>
      <c r="AX312" s="181"/>
      <c r="AY312" s="181"/>
      <c r="AZ312" s="181"/>
      <c r="BA312" s="181"/>
      <c r="BB312" s="181"/>
      <c r="BC312" s="181"/>
      <c r="BD312" s="181"/>
      <c r="BE312" s="181"/>
      <c r="BF312" s="181"/>
      <c r="BG312" s="181"/>
      <c r="BH312" s="181"/>
      <c r="BI312" s="181"/>
      <c r="BJ312" s="181"/>
      <c r="BK312" s="181"/>
      <c r="BL312" s="181"/>
      <c r="BM312" s="181"/>
      <c r="BN312" s="181"/>
      <c r="BO312" s="181"/>
      <c r="BP312" s="181"/>
      <c r="BQ312" s="181"/>
      <c r="BR312" s="181"/>
      <c r="BS312" s="181"/>
      <c r="BT312" s="181"/>
      <c r="BU312" s="181"/>
      <c r="BV312" s="181"/>
      <c r="BW312" s="181"/>
      <c r="BX312" s="181"/>
      <c r="BY312" s="181"/>
      <c r="BZ312" s="181"/>
      <c r="CA312" s="181"/>
      <c r="CB312" s="181"/>
      <c r="CC312" s="181"/>
      <c r="CD312" s="181"/>
      <c r="CE312" s="181"/>
      <c r="CF312" s="181"/>
      <c r="CG312" s="181"/>
      <c r="CH312" s="181"/>
      <c r="CI312" s="181"/>
      <c r="CJ312" s="181"/>
      <c r="CK312" s="181"/>
      <c r="CL312" s="181"/>
      <c r="CM312" s="181"/>
      <c r="CN312" s="181"/>
      <c r="CO312" s="181"/>
      <c r="CP312" s="181"/>
      <c r="CQ312" s="181"/>
      <c r="CR312" s="181"/>
      <c r="CS312" s="181"/>
      <c r="CT312" s="181"/>
      <c r="CU312" s="181"/>
      <c r="CV312" s="181"/>
      <c r="CW312" s="181"/>
      <c r="CX312" s="181"/>
      <c r="CY312" s="181"/>
      <c r="CZ312" s="181"/>
      <c r="DA312" s="181"/>
      <c r="DB312" s="181"/>
      <c r="DC312" s="181"/>
      <c r="DD312" s="181"/>
      <c r="DE312" s="181"/>
      <c r="DF312" s="181"/>
      <c r="DG312" s="181"/>
      <c r="DH312" s="181"/>
      <c r="DI312" s="181"/>
      <c r="DJ312" s="181"/>
      <c r="DK312" s="181"/>
      <c r="DL312" s="181"/>
      <c r="DM312" s="181"/>
      <c r="DN312" s="181"/>
      <c r="DO312" s="181"/>
      <c r="DP312" s="181"/>
      <c r="DQ312" s="181"/>
      <c r="DR312" s="181"/>
      <c r="DS312" s="181"/>
      <c r="DT312" s="181"/>
      <c r="DU312" s="181"/>
      <c r="DV312" s="181"/>
      <c r="DW312" s="181"/>
      <c r="DX312" s="181"/>
      <c r="DY312" s="181"/>
      <c r="DZ312" s="181"/>
      <c r="EA312" s="181"/>
      <c r="EB312" s="181"/>
      <c r="EC312" s="181"/>
      <c r="ED312" s="181"/>
      <c r="EE312" s="181"/>
      <c r="EF312" s="181"/>
      <c r="EG312" s="181"/>
      <c r="EH312" s="181"/>
      <c r="EI312" s="181"/>
      <c r="EJ312" s="181"/>
      <c r="EK312" s="181"/>
      <c r="EL312" s="181"/>
      <c r="EM312" s="181"/>
      <c r="EN312" s="181"/>
      <c r="EO312" s="181"/>
      <c r="EP312" s="181"/>
      <c r="EQ312" s="181"/>
      <c r="ER312" s="181"/>
      <c r="ES312" s="181"/>
      <c r="ET312" s="181"/>
      <c r="EU312" s="181"/>
      <c r="EV312" s="181"/>
      <c r="EW312" s="181"/>
      <c r="EX312" s="181"/>
      <c r="EY312" s="181"/>
      <c r="EZ312" s="181"/>
      <c r="FA312" s="181"/>
      <c r="FB312" s="181"/>
      <c r="FC312" s="180">
        <f>FD312</f>
        <v>15532.9</v>
      </c>
      <c r="FD312" s="163">
        <f>FD315+FD321+FD325+FD329</f>
        <v>15532.9</v>
      </c>
      <c r="FE312" s="180"/>
      <c r="FF312" s="180"/>
      <c r="FG312" s="180"/>
      <c r="FH312" s="180"/>
      <c r="FI312" s="180"/>
      <c r="FJ312" s="180"/>
      <c r="FK312" s="180"/>
      <c r="FL312" s="180"/>
      <c r="FM312" s="180"/>
      <c r="FN312" s="180"/>
      <c r="FO312" s="180"/>
      <c r="FP312" s="180"/>
      <c r="FQ312" s="180"/>
      <c r="FR312" s="180"/>
      <c r="FS312" s="143">
        <f>FU312</f>
        <v>1237.9052999999999</v>
      </c>
      <c r="FT312" s="575">
        <f t="shared" si="640"/>
        <v>7.9695697519458694E-2</v>
      </c>
      <c r="FU312" s="163">
        <f>FU315+FU321+FU325+FU329</f>
        <v>1237.9052999999999</v>
      </c>
      <c r="FV312" s="577">
        <f t="shared" si="641"/>
        <v>7.9695697519458694E-2</v>
      </c>
      <c r="FW312" s="181"/>
      <c r="FX312" s="577"/>
      <c r="FY312" s="181"/>
      <c r="FZ312" s="672"/>
      <c r="GA312" s="163">
        <f t="shared" si="699"/>
        <v>1237.9052999999999</v>
      </c>
      <c r="GB312" s="577">
        <f>GA312/FC312</f>
        <v>7.9695697519458694E-2</v>
      </c>
      <c r="GC312" s="163">
        <f>GC315+GC321+GC325+GC329</f>
        <v>1237.9052999999999</v>
      </c>
      <c r="GD312" s="577">
        <f>GC312/FD312</f>
        <v>7.9695697519458694E-2</v>
      </c>
      <c r="GE312" s="181"/>
      <c r="GF312" s="577"/>
      <c r="GG312" s="180"/>
      <c r="GH312" s="577"/>
      <c r="GI312" s="103">
        <f t="shared" si="703"/>
        <v>1237.9052999999999</v>
      </c>
      <c r="GJ312" s="577">
        <f t="shared" si="658"/>
        <v>7.9695697519458694E-2</v>
      </c>
      <c r="GK312" s="163">
        <f>GK315+GK321+GK325+GK329</f>
        <v>1237.9052999999999</v>
      </c>
      <c r="GL312" s="577">
        <f t="shared" si="659"/>
        <v>7.9695697519458694E-2</v>
      </c>
      <c r="GM312" s="180"/>
      <c r="GN312" s="577"/>
      <c r="GO312" s="180"/>
      <c r="GP312" s="577"/>
      <c r="GQ312" s="181"/>
      <c r="GR312" s="181"/>
      <c r="GS312" s="181"/>
      <c r="GT312" s="181"/>
      <c r="GU312" s="181"/>
      <c r="GV312" s="181"/>
      <c r="GW312" s="181"/>
      <c r="GX312" s="181"/>
      <c r="GY312" s="181"/>
      <c r="GZ312" s="181"/>
      <c r="HA312" s="181"/>
      <c r="HB312" s="181"/>
      <c r="HC312" s="181"/>
      <c r="HD312" s="181"/>
      <c r="HE312" s="181"/>
      <c r="HF312" s="181"/>
      <c r="HG312" s="181"/>
      <c r="HH312" s="181"/>
      <c r="HI312" s="181"/>
      <c r="HJ312" s="181"/>
      <c r="HK312" s="181"/>
      <c r="HL312" s="181"/>
      <c r="HM312" s="181"/>
      <c r="HN312" s="181"/>
      <c r="HO312" s="181"/>
      <c r="HP312" s="181"/>
      <c r="HQ312" s="181"/>
      <c r="HR312" s="181"/>
      <c r="HS312" s="181"/>
      <c r="HT312" s="181"/>
      <c r="HU312" s="181"/>
      <c r="HV312" s="181"/>
      <c r="HW312" s="181"/>
      <c r="HX312" s="181"/>
      <c r="HY312" s="181"/>
      <c r="HZ312" s="181"/>
      <c r="IA312" s="181"/>
      <c r="IB312" s="181"/>
      <c r="IC312" s="181"/>
      <c r="ID312" s="181"/>
      <c r="IE312" s="321"/>
      <c r="IF312" s="183"/>
      <c r="IG312" s="183"/>
      <c r="IH312" s="183"/>
    </row>
    <row r="313" spans="2:242" s="240" customFormat="1" ht="36.75" hidden="1" customHeight="1" x14ac:dyDescent="0.25">
      <c r="B313" s="324"/>
      <c r="C313" s="266" t="s">
        <v>404</v>
      </c>
      <c r="D313" s="325"/>
      <c r="E313" s="164">
        <f t="shared" si="691"/>
        <v>29700</v>
      </c>
      <c r="F313" s="164">
        <v>29700</v>
      </c>
      <c r="G313" s="164"/>
      <c r="H313" s="164">
        <f t="shared" si="692"/>
        <v>8126.4097600000023</v>
      </c>
      <c r="I313" s="259">
        <f t="shared" ref="I313:J319" si="705">L313-F313</f>
        <v>8126.4097600000023</v>
      </c>
      <c r="J313" s="259">
        <f t="shared" si="705"/>
        <v>0</v>
      </c>
      <c r="K313" s="164">
        <f t="shared" si="693"/>
        <v>37826.409760000002</v>
      </c>
      <c r="L313" s="164">
        <f>19700+8514.0802+9612.32956</f>
        <v>37826.409760000002</v>
      </c>
      <c r="M313" s="164"/>
      <c r="N313" s="164">
        <f t="shared" si="694"/>
        <v>0</v>
      </c>
      <c r="O313" s="259">
        <f t="shared" ref="O313:P319" si="706">R313-L313</f>
        <v>0</v>
      </c>
      <c r="P313" s="259">
        <f t="shared" si="706"/>
        <v>0</v>
      </c>
      <c r="Q313" s="164">
        <f t="shared" si="695"/>
        <v>37826.409760000002</v>
      </c>
      <c r="R313" s="164">
        <f>19700+8514.0802+9612.32956</f>
        <v>37826.409760000002</v>
      </c>
      <c r="S313" s="164"/>
      <c r="T313" s="164">
        <f t="shared" si="696"/>
        <v>300000</v>
      </c>
      <c r="U313" s="164"/>
      <c r="V313" s="164">
        <v>300000</v>
      </c>
      <c r="W313" s="164">
        <f t="shared" si="697"/>
        <v>-43669.911920000013</v>
      </c>
      <c r="X313" s="259">
        <f t="shared" ref="X313:Y319" si="707">AA313-U313</f>
        <v>256330.08807999999</v>
      </c>
      <c r="Y313" s="259">
        <f t="shared" si="707"/>
        <v>-300000</v>
      </c>
      <c r="Z313" s="164">
        <f>AA313</f>
        <v>256330.08807999999</v>
      </c>
      <c r="AA313" s="164">
        <v>256330.08807999999</v>
      </c>
      <c r="AB313" s="164"/>
      <c r="AC313" s="164">
        <f>AD313+AE313</f>
        <v>0</v>
      </c>
      <c r="AD313" s="164"/>
      <c r="AE313" s="164"/>
      <c r="AF313" s="164">
        <f>AG313+AH313</f>
        <v>256330.08807999999</v>
      </c>
      <c r="AG313" s="164">
        <f>AA313</f>
        <v>256330.08807999999</v>
      </c>
      <c r="AH313" s="164"/>
      <c r="AI313" s="164"/>
      <c r="AJ313" s="164">
        <v>0</v>
      </c>
      <c r="AK313" s="164">
        <f>Z313-AJ313</f>
        <v>256330.08807999999</v>
      </c>
      <c r="AL313" s="164">
        <f>AF313-AJ313</f>
        <v>256330.08807999999</v>
      </c>
      <c r="AM313" s="175" t="s">
        <v>405</v>
      </c>
      <c r="AN313" s="175" t="s">
        <v>406</v>
      </c>
      <c r="AO313" s="165">
        <v>1</v>
      </c>
      <c r="AP313" s="165"/>
      <c r="AQ313" s="165"/>
      <c r="AR313" s="165">
        <f>AF313-AP313-AQ313</f>
        <v>256330.08807999999</v>
      </c>
      <c r="AS313" s="164">
        <f>AT313+AU313</f>
        <v>317500</v>
      </c>
      <c r="AT313" s="164">
        <f>'[5]2018-2019 _с лимит75и50'!BQ179</f>
        <v>317500</v>
      </c>
      <c r="AU313" s="164"/>
      <c r="AV313" s="164">
        <f>AW313+AX313</f>
        <v>0</v>
      </c>
      <c r="AW313" s="259">
        <v>0</v>
      </c>
      <c r="AX313" s="259">
        <v>0</v>
      </c>
      <c r="AY313" s="164">
        <f>AZ313+BA313</f>
        <v>317500</v>
      </c>
      <c r="AZ313" s="164">
        <f>AT313+AW313</f>
        <v>317500</v>
      </c>
      <c r="BA313" s="164"/>
      <c r="BB313" s="164">
        <f>BC313+BD313</f>
        <v>317500</v>
      </c>
      <c r="BC313" s="164">
        <v>317500</v>
      </c>
      <c r="BD313" s="164"/>
      <c r="BE313" s="164">
        <f>BF313+BG313</f>
        <v>0</v>
      </c>
      <c r="BF313" s="259">
        <f t="shared" ref="BF313:BG319" si="708">BW313-BC313</f>
        <v>0</v>
      </c>
      <c r="BG313" s="259">
        <f t="shared" si="708"/>
        <v>0</v>
      </c>
      <c r="BH313" s="164">
        <f>BI313+BJ313</f>
        <v>342729.88630000001</v>
      </c>
      <c r="BI313" s="164">
        <v>342729.88630000001</v>
      </c>
      <c r="BJ313" s="164"/>
      <c r="BK313" s="165">
        <v>1</v>
      </c>
      <c r="BL313" s="164">
        <f>AY313</f>
        <v>317500</v>
      </c>
      <c r="BM313" s="164"/>
      <c r="BN313" s="164"/>
      <c r="BO313" s="164"/>
      <c r="BP313" s="164">
        <f>BQ313+BR313</f>
        <v>0</v>
      </c>
      <c r="BQ313" s="164"/>
      <c r="BR313" s="164"/>
      <c r="BS313" s="164">
        <f>BT313+BU313</f>
        <v>342729.88630000001</v>
      </c>
      <c r="BT313" s="164">
        <f>BI313</f>
        <v>342729.88630000001</v>
      </c>
      <c r="BU313" s="164"/>
      <c r="BV313" s="164">
        <f>BW313+BX313</f>
        <v>317500</v>
      </c>
      <c r="BW313" s="164">
        <v>317500</v>
      </c>
      <c r="BX313" s="164"/>
      <c r="BY313" s="164">
        <f>BZ313+CA313</f>
        <v>143095.93861000001</v>
      </c>
      <c r="BZ313" s="259">
        <f>CC313-BI313</f>
        <v>143095.93861000001</v>
      </c>
      <c r="CA313" s="259">
        <v>0</v>
      </c>
      <c r="CB313" s="164">
        <f>CC313+CD313</f>
        <v>485825.82491000002</v>
      </c>
      <c r="CC313" s="164">
        <v>485825.82491000002</v>
      </c>
      <c r="CD313" s="164"/>
      <c r="CE313" s="165">
        <v>1</v>
      </c>
      <c r="CF313" s="164">
        <f t="shared" si="700"/>
        <v>317500</v>
      </c>
      <c r="CG313" s="164"/>
      <c r="CH313" s="164">
        <f>CI313+CJ313</f>
        <v>345000</v>
      </c>
      <c r="CI313" s="164">
        <v>345000</v>
      </c>
      <c r="CJ313" s="164"/>
      <c r="CK313" s="164">
        <f>CL313+CM313</f>
        <v>0</v>
      </c>
      <c r="CL313" s="259">
        <v>0</v>
      </c>
      <c r="CM313" s="259">
        <v>0</v>
      </c>
      <c r="CN313" s="164">
        <f>CO313+CP313</f>
        <v>0</v>
      </c>
      <c r="CO313" s="259">
        <v>0</v>
      </c>
      <c r="CP313" s="259">
        <v>0</v>
      </c>
      <c r="CQ313" s="164">
        <f>CR313+CS313</f>
        <v>345000</v>
      </c>
      <c r="CR313" s="164">
        <v>345000</v>
      </c>
      <c r="CS313" s="164"/>
      <c r="CT313" s="164">
        <f>CU313+CV313</f>
        <v>0</v>
      </c>
      <c r="CU313" s="164"/>
      <c r="CV313" s="164"/>
      <c r="CW313" s="164">
        <f>CX313+CY316</f>
        <v>33890.757469999997</v>
      </c>
      <c r="CX313" s="164">
        <v>33890.757469999997</v>
      </c>
      <c r="CY313" s="164"/>
      <c r="CZ313" s="164"/>
      <c r="DA313" s="164"/>
      <c r="DB313" s="164"/>
      <c r="DC313" s="164"/>
      <c r="DD313" s="164"/>
      <c r="DE313" s="164"/>
      <c r="DF313" s="164">
        <f t="shared" si="701"/>
        <v>0</v>
      </c>
      <c r="DG313" s="164">
        <f t="shared" ref="DG313:DG328" si="709">DJ313-CX313</f>
        <v>0</v>
      </c>
      <c r="DH313" s="164"/>
      <c r="DI313" s="181">
        <f t="shared" si="637"/>
        <v>33890.757469999997</v>
      </c>
      <c r="DJ313" s="164">
        <f>CX313</f>
        <v>33890.757469999997</v>
      </c>
      <c r="DK313" s="164"/>
      <c r="DL313" s="164">
        <f>DM313+DN316</f>
        <v>1891.3504399999999</v>
      </c>
      <c r="DM313" s="164">
        <v>1891.3504399999999</v>
      </c>
      <c r="DN313" s="164"/>
      <c r="DO313" s="164">
        <f>DP313+DQ316</f>
        <v>598.04481999999996</v>
      </c>
      <c r="DP313" s="164">
        <v>598.04481999999996</v>
      </c>
      <c r="DQ313" s="164"/>
      <c r="DR313" s="164">
        <f>DS313+DT316</f>
        <v>31401.362209999999</v>
      </c>
      <c r="DS313" s="164">
        <f t="shared" ref="DS313:DS328" si="710">DJ313-DM313-DP313</f>
        <v>31401.362209999999</v>
      </c>
      <c r="DT313" s="164"/>
      <c r="DU313" s="164">
        <f>DV313</f>
        <v>0</v>
      </c>
      <c r="DV313" s="164">
        <v>0</v>
      </c>
      <c r="DW313" s="164"/>
      <c r="DX313" s="164"/>
      <c r="DY313" s="164"/>
      <c r="DZ313" s="164"/>
      <c r="EA313" s="164"/>
      <c r="EB313" s="164"/>
      <c r="EC313" s="164"/>
      <c r="ED313" s="164"/>
      <c r="EE313" s="164"/>
      <c r="EF313" s="164"/>
      <c r="EG313" s="181">
        <f t="shared" ref="EG313:EG328" si="711">EH313</f>
        <v>10654.97753</v>
      </c>
      <c r="EH313" s="164">
        <v>10654.97753</v>
      </c>
      <c r="EI313" s="164"/>
      <c r="EJ313" s="164"/>
      <c r="EK313" s="164">
        <f>EL313</f>
        <v>-10654.97753</v>
      </c>
      <c r="EL313" s="164">
        <f>ET313-EH313</f>
        <v>-10654.97753</v>
      </c>
      <c r="EM313" s="164"/>
      <c r="EN313" s="164"/>
      <c r="EO313" s="164"/>
      <c r="EP313" s="164"/>
      <c r="EQ313" s="164"/>
      <c r="ER313" s="164"/>
      <c r="ES313" s="164">
        <f t="shared" ref="ES313:ES328" si="712">ET313</f>
        <v>0</v>
      </c>
      <c r="ET313" s="164"/>
      <c r="EU313" s="164"/>
      <c r="EV313" s="164"/>
      <c r="EW313" s="164">
        <f>EX313</f>
        <v>13538.87753</v>
      </c>
      <c r="EX313" s="164">
        <v>13538.87753</v>
      </c>
      <c r="EY313" s="164"/>
      <c r="EZ313" s="181">
        <f t="shared" si="638"/>
        <v>26991.136330000001</v>
      </c>
      <c r="FA313" s="164">
        <f>FD313-EX313</f>
        <v>26991.136330000001</v>
      </c>
      <c r="FB313" s="164"/>
      <c r="FC313" s="180">
        <f t="shared" si="656"/>
        <v>40530.013859999999</v>
      </c>
      <c r="FD313" s="163">
        <f>FD314+FD315</f>
        <v>40530.013859999999</v>
      </c>
      <c r="FE313" s="163"/>
      <c r="FF313" s="163"/>
      <c r="FG313" s="163">
        <f>FH313</f>
        <v>19788.530709999999</v>
      </c>
      <c r="FH313" s="163">
        <f>FP313-FD313</f>
        <v>19788.530709999999</v>
      </c>
      <c r="FI313" s="163"/>
      <c r="FJ313" s="163"/>
      <c r="FK313" s="163"/>
      <c r="FL313" s="163"/>
      <c r="FM313" s="163"/>
      <c r="FN313" s="163"/>
      <c r="FO313" s="180">
        <f t="shared" ref="FO313:FO328" si="713">FP313</f>
        <v>60318.544569999998</v>
      </c>
      <c r="FP313" s="163">
        <f>FD313+19788.53071</f>
        <v>60318.544569999998</v>
      </c>
      <c r="FQ313" s="163"/>
      <c r="FR313" s="163"/>
      <c r="FS313" s="163"/>
      <c r="FT313" s="577">
        <f t="shared" si="640"/>
        <v>0</v>
      </c>
      <c r="FU313" s="163"/>
      <c r="FV313" s="577">
        <f t="shared" si="641"/>
        <v>0</v>
      </c>
      <c r="FW313" s="164"/>
      <c r="FX313" s="577"/>
      <c r="FY313" s="164"/>
      <c r="FZ313" s="672"/>
      <c r="GA313" s="163">
        <f t="shared" si="699"/>
        <v>0</v>
      </c>
      <c r="GB313" s="577">
        <f>GA313/FC313</f>
        <v>0</v>
      </c>
      <c r="GC313" s="163">
        <f>GC315</f>
        <v>0</v>
      </c>
      <c r="GD313" s="577">
        <f>GC313/FD313</f>
        <v>0</v>
      </c>
      <c r="GE313" s="164"/>
      <c r="GF313" s="577"/>
      <c r="GG313" s="163"/>
      <c r="GH313" s="577"/>
      <c r="GI313" s="103">
        <f t="shared" si="703"/>
        <v>33242.247459999999</v>
      </c>
      <c r="GJ313" s="577">
        <f t="shared" si="658"/>
        <v>0.82018840592619524</v>
      </c>
      <c r="GK313" s="163">
        <f>GK314+GK315</f>
        <v>33242.247459999999</v>
      </c>
      <c r="GL313" s="577">
        <f t="shared" si="659"/>
        <v>0.82018840592619524</v>
      </c>
      <c r="GM313" s="163"/>
      <c r="GN313" s="577"/>
      <c r="GO313" s="163"/>
      <c r="GP313" s="577"/>
      <c r="GQ313" s="164"/>
      <c r="GR313" s="164"/>
      <c r="GS313" s="164"/>
      <c r="GT313" s="164"/>
      <c r="GU313" s="181">
        <f t="shared" ref="GU313:GU328" si="714">GV313</f>
        <v>0</v>
      </c>
      <c r="GV313" s="164">
        <v>0</v>
      </c>
      <c r="GW313" s="164"/>
      <c r="GX313" s="164"/>
      <c r="GY313" s="164"/>
      <c r="GZ313" s="164"/>
      <c r="HA313" s="164"/>
      <c r="HB313" s="164"/>
      <c r="HC313" s="164"/>
      <c r="HD313" s="164"/>
      <c r="HE313" s="164"/>
      <c r="HF313" s="164"/>
      <c r="HG313" s="181">
        <f t="shared" ref="HG313:HG328" si="715">HH313</f>
        <v>0</v>
      </c>
      <c r="HH313" s="164">
        <v>0</v>
      </c>
      <c r="HI313" s="164"/>
      <c r="HJ313" s="164"/>
      <c r="HK313" s="181">
        <f t="shared" ref="HK313:HK328" si="716">HL313</f>
        <v>0</v>
      </c>
      <c r="HL313" s="164">
        <v>0</v>
      </c>
      <c r="HM313" s="164"/>
      <c r="HN313" s="164"/>
      <c r="HO313" s="181">
        <f t="shared" ref="HO313:HO328" si="717">HP313</f>
        <v>0</v>
      </c>
      <c r="HP313" s="164">
        <v>0</v>
      </c>
      <c r="HQ313" s="164"/>
      <c r="HR313" s="164"/>
      <c r="HS313" s="181">
        <f t="shared" ref="HS313:HS328" si="718">HT313</f>
        <v>0</v>
      </c>
      <c r="HT313" s="164">
        <v>0</v>
      </c>
      <c r="HU313" s="164"/>
      <c r="HV313" s="164"/>
      <c r="HW313" s="181">
        <f t="shared" ref="HW313:HW328" si="719">HX313</f>
        <v>0</v>
      </c>
      <c r="HX313" s="164">
        <v>0</v>
      </c>
      <c r="HY313" s="164"/>
      <c r="HZ313" s="164"/>
      <c r="IA313" s="181">
        <f t="shared" ref="IA313:IA328" si="720">IB313</f>
        <v>0</v>
      </c>
      <c r="IB313" s="164">
        <v>0</v>
      </c>
      <c r="IC313" s="164"/>
      <c r="ID313" s="164"/>
      <c r="IE313" s="321"/>
      <c r="IF313" s="170"/>
      <c r="IG313" s="170"/>
      <c r="IH313" s="170">
        <f>FD311-588061.58665</f>
        <v>20089.401190000004</v>
      </c>
    </row>
    <row r="314" spans="2:242" s="240" customFormat="1" ht="36.75" hidden="1" customHeight="1" x14ac:dyDescent="0.25">
      <c r="B314" s="324"/>
      <c r="C314" s="164" t="s">
        <v>330</v>
      </c>
      <c r="D314" s="325"/>
      <c r="E314" s="164"/>
      <c r="F314" s="164"/>
      <c r="G314" s="164"/>
      <c r="H314" s="164"/>
      <c r="I314" s="259"/>
      <c r="J314" s="259"/>
      <c r="K314" s="164"/>
      <c r="L314" s="164"/>
      <c r="M314" s="164"/>
      <c r="N314" s="164"/>
      <c r="O314" s="259"/>
      <c r="P314" s="259"/>
      <c r="Q314" s="164"/>
      <c r="R314" s="164"/>
      <c r="S314" s="164"/>
      <c r="T314" s="164"/>
      <c r="U314" s="164"/>
      <c r="V314" s="164"/>
      <c r="W314" s="164"/>
      <c r="X314" s="259"/>
      <c r="Y314" s="259"/>
      <c r="Z314" s="164"/>
      <c r="AA314" s="164"/>
      <c r="AB314" s="164"/>
      <c r="AC314" s="164"/>
      <c r="AD314" s="164"/>
      <c r="AE314" s="164"/>
      <c r="AF314" s="164"/>
      <c r="AG314" s="164"/>
      <c r="AH314" s="164"/>
      <c r="AI314" s="164"/>
      <c r="AJ314" s="164"/>
      <c r="AK314" s="164"/>
      <c r="AL314" s="164"/>
      <c r="AM314" s="635"/>
      <c r="AN314" s="635"/>
      <c r="AO314" s="165"/>
      <c r="AP314" s="165"/>
      <c r="AQ314" s="165"/>
      <c r="AR314" s="165"/>
      <c r="AS314" s="164"/>
      <c r="AT314" s="164"/>
      <c r="AU314" s="164"/>
      <c r="AV314" s="164"/>
      <c r="AW314" s="259"/>
      <c r="AX314" s="259"/>
      <c r="AY314" s="164"/>
      <c r="AZ314" s="164"/>
      <c r="BA314" s="164"/>
      <c r="BB314" s="164"/>
      <c r="BC314" s="164"/>
      <c r="BD314" s="164"/>
      <c r="BE314" s="164"/>
      <c r="BF314" s="259"/>
      <c r="BG314" s="259"/>
      <c r="BH314" s="164"/>
      <c r="BI314" s="164"/>
      <c r="BJ314" s="164"/>
      <c r="BK314" s="165"/>
      <c r="BL314" s="164"/>
      <c r="BM314" s="164"/>
      <c r="BN314" s="164"/>
      <c r="BO314" s="164"/>
      <c r="BP314" s="164"/>
      <c r="BQ314" s="164"/>
      <c r="BR314" s="164"/>
      <c r="BS314" s="164"/>
      <c r="BT314" s="164"/>
      <c r="BU314" s="164"/>
      <c r="BV314" s="164"/>
      <c r="BW314" s="164"/>
      <c r="BX314" s="164"/>
      <c r="BY314" s="164"/>
      <c r="BZ314" s="259"/>
      <c r="CA314" s="259"/>
      <c r="CB314" s="164"/>
      <c r="CC314" s="164"/>
      <c r="CD314" s="164"/>
      <c r="CE314" s="165"/>
      <c r="CF314" s="164"/>
      <c r="CG314" s="164"/>
      <c r="CH314" s="164"/>
      <c r="CI314" s="164"/>
      <c r="CJ314" s="164"/>
      <c r="CK314" s="164"/>
      <c r="CL314" s="259"/>
      <c r="CM314" s="259"/>
      <c r="CN314" s="164"/>
      <c r="CO314" s="259"/>
      <c r="CP314" s="259"/>
      <c r="CQ314" s="164"/>
      <c r="CR314" s="164"/>
      <c r="CS314" s="164"/>
      <c r="CT314" s="164"/>
      <c r="CU314" s="164"/>
      <c r="CV314" s="164"/>
      <c r="CW314" s="164"/>
      <c r="CX314" s="164"/>
      <c r="CY314" s="164"/>
      <c r="CZ314" s="164"/>
      <c r="DA314" s="164"/>
      <c r="DB314" s="164"/>
      <c r="DC314" s="164"/>
      <c r="DD314" s="164"/>
      <c r="DE314" s="164"/>
      <c r="DF314" s="164"/>
      <c r="DG314" s="164"/>
      <c r="DH314" s="164"/>
      <c r="DI314" s="181"/>
      <c r="DJ314" s="164"/>
      <c r="DK314" s="164"/>
      <c r="DL314" s="164"/>
      <c r="DM314" s="164"/>
      <c r="DN314" s="164"/>
      <c r="DO314" s="164"/>
      <c r="DP314" s="164"/>
      <c r="DQ314" s="164"/>
      <c r="DR314" s="164"/>
      <c r="DS314" s="164"/>
      <c r="DT314" s="164"/>
      <c r="DU314" s="164"/>
      <c r="DV314" s="164"/>
      <c r="DW314" s="164"/>
      <c r="DX314" s="164"/>
      <c r="DY314" s="164"/>
      <c r="DZ314" s="164"/>
      <c r="EA314" s="164"/>
      <c r="EB314" s="164"/>
      <c r="EC314" s="164"/>
      <c r="ED314" s="164"/>
      <c r="EE314" s="164"/>
      <c r="EF314" s="164"/>
      <c r="EG314" s="181"/>
      <c r="EH314" s="164"/>
      <c r="EI314" s="164"/>
      <c r="EJ314" s="164"/>
      <c r="EK314" s="164"/>
      <c r="EL314" s="164"/>
      <c r="EM314" s="164"/>
      <c r="EN314" s="164"/>
      <c r="EO314" s="164"/>
      <c r="EP314" s="164"/>
      <c r="EQ314" s="164"/>
      <c r="ER314" s="164"/>
      <c r="ES314" s="164"/>
      <c r="ET314" s="164"/>
      <c r="EU314" s="164"/>
      <c r="EV314" s="164"/>
      <c r="EW314" s="164"/>
      <c r="EX314" s="164"/>
      <c r="EY314" s="164"/>
      <c r="EZ314" s="181"/>
      <c r="FA314" s="164"/>
      <c r="FB314" s="164"/>
      <c r="FC314" s="180">
        <f>FD314</f>
        <v>39778.913659999998</v>
      </c>
      <c r="FD314" s="163">
        <v>39778.913659999998</v>
      </c>
      <c r="FE314" s="163"/>
      <c r="FF314" s="163"/>
      <c r="FG314" s="163"/>
      <c r="FH314" s="163"/>
      <c r="FI314" s="163"/>
      <c r="FJ314" s="163"/>
      <c r="FK314" s="163"/>
      <c r="FL314" s="163"/>
      <c r="FM314" s="163"/>
      <c r="FN314" s="163"/>
      <c r="FO314" s="180"/>
      <c r="FP314" s="163"/>
      <c r="FQ314" s="163"/>
      <c r="FR314" s="163"/>
      <c r="FS314" s="163"/>
      <c r="FT314" s="577">
        <f t="shared" si="640"/>
        <v>0</v>
      </c>
      <c r="FU314" s="163"/>
      <c r="FV314" s="577">
        <f t="shared" si="641"/>
        <v>0</v>
      </c>
      <c r="FW314" s="164"/>
      <c r="FX314" s="577"/>
      <c r="FY314" s="164"/>
      <c r="FZ314" s="672"/>
      <c r="GA314" s="163"/>
      <c r="GB314" s="577"/>
      <c r="GC314" s="163"/>
      <c r="GD314" s="577"/>
      <c r="GE314" s="164"/>
      <c r="GF314" s="577"/>
      <c r="GG314" s="163"/>
      <c r="GH314" s="577"/>
      <c r="GI314" s="103">
        <f t="shared" si="703"/>
        <v>33242.247459999999</v>
      </c>
      <c r="GJ314" s="577">
        <f t="shared" si="658"/>
        <v>0.83567509520570449</v>
      </c>
      <c r="GK314" s="163">
        <v>33242.247459999999</v>
      </c>
      <c r="GL314" s="577">
        <f t="shared" si="659"/>
        <v>0.83567509520570449</v>
      </c>
      <c r="GM314" s="163"/>
      <c r="GN314" s="577"/>
      <c r="GO314" s="163"/>
      <c r="GP314" s="577"/>
      <c r="GQ314" s="164"/>
      <c r="GR314" s="164"/>
      <c r="GS314" s="164"/>
      <c r="GT314" s="164"/>
      <c r="GU314" s="181"/>
      <c r="GV314" s="164"/>
      <c r="GW314" s="164"/>
      <c r="GX314" s="164"/>
      <c r="GY314" s="164"/>
      <c r="GZ314" s="164"/>
      <c r="HA314" s="164"/>
      <c r="HB314" s="164"/>
      <c r="HC314" s="164"/>
      <c r="HD314" s="164"/>
      <c r="HE314" s="164"/>
      <c r="HF314" s="164"/>
      <c r="HG314" s="181"/>
      <c r="HH314" s="164"/>
      <c r="HI314" s="164"/>
      <c r="HJ314" s="164"/>
      <c r="HK314" s="181"/>
      <c r="HL314" s="164"/>
      <c r="HM314" s="164"/>
      <c r="HN314" s="164"/>
      <c r="HO314" s="181"/>
      <c r="HP314" s="164"/>
      <c r="HQ314" s="164"/>
      <c r="HR314" s="164"/>
      <c r="HS314" s="181"/>
      <c r="HT314" s="164"/>
      <c r="HU314" s="164"/>
      <c r="HV314" s="164"/>
      <c r="HW314" s="181"/>
      <c r="HX314" s="164"/>
      <c r="HY314" s="164"/>
      <c r="HZ314" s="164"/>
      <c r="IA314" s="181"/>
      <c r="IB314" s="164"/>
      <c r="IC314" s="164"/>
      <c r="ID314" s="164"/>
      <c r="IE314" s="321"/>
      <c r="IF314" s="170"/>
      <c r="IG314" s="170"/>
      <c r="IH314" s="170"/>
    </row>
    <row r="315" spans="2:242" s="240" customFormat="1" ht="36.75" hidden="1" customHeight="1" x14ac:dyDescent="0.25">
      <c r="B315" s="324"/>
      <c r="C315" s="164" t="s">
        <v>172</v>
      </c>
      <c r="D315" s="325"/>
      <c r="E315" s="164"/>
      <c r="F315" s="164"/>
      <c r="G315" s="164"/>
      <c r="H315" s="164"/>
      <c r="I315" s="259"/>
      <c r="J315" s="259"/>
      <c r="K315" s="164"/>
      <c r="L315" s="164"/>
      <c r="M315" s="164"/>
      <c r="N315" s="164"/>
      <c r="O315" s="259"/>
      <c r="P315" s="259"/>
      <c r="Q315" s="164"/>
      <c r="R315" s="164"/>
      <c r="S315" s="164"/>
      <c r="T315" s="164"/>
      <c r="U315" s="164"/>
      <c r="V315" s="164"/>
      <c r="W315" s="164"/>
      <c r="X315" s="259"/>
      <c r="Y315" s="259"/>
      <c r="Z315" s="164"/>
      <c r="AA315" s="164"/>
      <c r="AB315" s="164"/>
      <c r="AC315" s="164"/>
      <c r="AD315" s="164"/>
      <c r="AE315" s="164"/>
      <c r="AF315" s="164"/>
      <c r="AG315" s="164"/>
      <c r="AH315" s="164"/>
      <c r="AI315" s="164"/>
      <c r="AJ315" s="164"/>
      <c r="AK315" s="164"/>
      <c r="AL315" s="164"/>
      <c r="AM315" s="635"/>
      <c r="AN315" s="635"/>
      <c r="AO315" s="165"/>
      <c r="AP315" s="165"/>
      <c r="AQ315" s="165"/>
      <c r="AR315" s="165"/>
      <c r="AS315" s="164"/>
      <c r="AT315" s="164"/>
      <c r="AU315" s="164"/>
      <c r="AV315" s="164"/>
      <c r="AW315" s="259"/>
      <c r="AX315" s="259"/>
      <c r="AY315" s="164"/>
      <c r="AZ315" s="164"/>
      <c r="BA315" s="164"/>
      <c r="BB315" s="164"/>
      <c r="BC315" s="164"/>
      <c r="BD315" s="164"/>
      <c r="BE315" s="164"/>
      <c r="BF315" s="259"/>
      <c r="BG315" s="259"/>
      <c r="BH315" s="164"/>
      <c r="BI315" s="164"/>
      <c r="BJ315" s="164"/>
      <c r="BK315" s="165"/>
      <c r="BL315" s="164"/>
      <c r="BM315" s="164"/>
      <c r="BN315" s="164"/>
      <c r="BO315" s="164"/>
      <c r="BP315" s="164"/>
      <c r="BQ315" s="164"/>
      <c r="BR315" s="164"/>
      <c r="BS315" s="164"/>
      <c r="BT315" s="164"/>
      <c r="BU315" s="164"/>
      <c r="BV315" s="164"/>
      <c r="BW315" s="164"/>
      <c r="BX315" s="164"/>
      <c r="BY315" s="164"/>
      <c r="BZ315" s="259"/>
      <c r="CA315" s="259"/>
      <c r="CB315" s="164"/>
      <c r="CC315" s="164"/>
      <c r="CD315" s="164"/>
      <c r="CE315" s="165"/>
      <c r="CF315" s="164"/>
      <c r="CG315" s="164"/>
      <c r="CH315" s="164"/>
      <c r="CI315" s="164"/>
      <c r="CJ315" s="164"/>
      <c r="CK315" s="164"/>
      <c r="CL315" s="259"/>
      <c r="CM315" s="259"/>
      <c r="CN315" s="164"/>
      <c r="CO315" s="259"/>
      <c r="CP315" s="259"/>
      <c r="CQ315" s="164"/>
      <c r="CR315" s="164"/>
      <c r="CS315" s="164"/>
      <c r="CT315" s="164"/>
      <c r="CU315" s="164"/>
      <c r="CV315" s="164"/>
      <c r="CW315" s="164"/>
      <c r="CX315" s="164"/>
      <c r="CY315" s="164"/>
      <c r="CZ315" s="164"/>
      <c r="DA315" s="164"/>
      <c r="DB315" s="164"/>
      <c r="DC315" s="164"/>
      <c r="DD315" s="164"/>
      <c r="DE315" s="164"/>
      <c r="DF315" s="164"/>
      <c r="DG315" s="164"/>
      <c r="DH315" s="164"/>
      <c r="DI315" s="181"/>
      <c r="DJ315" s="164"/>
      <c r="DK315" s="164"/>
      <c r="DL315" s="164"/>
      <c r="DM315" s="164"/>
      <c r="DN315" s="164"/>
      <c r="DO315" s="164"/>
      <c r="DP315" s="164"/>
      <c r="DQ315" s="164"/>
      <c r="DR315" s="164"/>
      <c r="DS315" s="164"/>
      <c r="DT315" s="164"/>
      <c r="DU315" s="164"/>
      <c r="DV315" s="164"/>
      <c r="DW315" s="164"/>
      <c r="DX315" s="164"/>
      <c r="DY315" s="164"/>
      <c r="DZ315" s="164"/>
      <c r="EA315" s="164"/>
      <c r="EB315" s="164"/>
      <c r="EC315" s="164"/>
      <c r="ED315" s="164"/>
      <c r="EE315" s="164"/>
      <c r="EF315" s="164"/>
      <c r="EG315" s="181"/>
      <c r="EH315" s="164"/>
      <c r="EI315" s="164"/>
      <c r="EJ315" s="164"/>
      <c r="EK315" s="164"/>
      <c r="EL315" s="164"/>
      <c r="EM315" s="164"/>
      <c r="EN315" s="164"/>
      <c r="EO315" s="164"/>
      <c r="EP315" s="164"/>
      <c r="EQ315" s="164"/>
      <c r="ER315" s="164"/>
      <c r="ES315" s="164"/>
      <c r="ET315" s="164"/>
      <c r="EU315" s="164"/>
      <c r="EV315" s="164"/>
      <c r="EW315" s="164"/>
      <c r="EX315" s="164"/>
      <c r="EY315" s="164"/>
      <c r="EZ315" s="181"/>
      <c r="FA315" s="164"/>
      <c r="FB315" s="164"/>
      <c r="FC315" s="180">
        <f>FD315</f>
        <v>751.10019999999997</v>
      </c>
      <c r="FD315" s="163">
        <v>751.10019999999997</v>
      </c>
      <c r="FE315" s="163"/>
      <c r="FF315" s="163"/>
      <c r="FG315" s="163"/>
      <c r="FH315" s="163"/>
      <c r="FI315" s="163"/>
      <c r="FJ315" s="163"/>
      <c r="FK315" s="163"/>
      <c r="FL315" s="163"/>
      <c r="FM315" s="163"/>
      <c r="FN315" s="163"/>
      <c r="FO315" s="180"/>
      <c r="FP315" s="163"/>
      <c r="FQ315" s="163"/>
      <c r="FR315" s="163"/>
      <c r="FS315" s="163"/>
      <c r="FT315" s="577">
        <f t="shared" si="640"/>
        <v>0</v>
      </c>
      <c r="FU315" s="163"/>
      <c r="FV315" s="577">
        <f t="shared" si="641"/>
        <v>0</v>
      </c>
      <c r="FW315" s="164"/>
      <c r="FX315" s="577"/>
      <c r="FY315" s="164"/>
      <c r="FZ315" s="672"/>
      <c r="GA315" s="163">
        <f>GC315</f>
        <v>0</v>
      </c>
      <c r="GB315" s="577">
        <f>GA315/FC315</f>
        <v>0</v>
      </c>
      <c r="GC315" s="163">
        <v>0</v>
      </c>
      <c r="GD315" s="577">
        <f>GC315/FD315</f>
        <v>0</v>
      </c>
      <c r="GE315" s="164"/>
      <c r="GF315" s="577"/>
      <c r="GG315" s="163"/>
      <c r="GH315" s="577"/>
      <c r="GI315" s="103">
        <f t="shared" si="703"/>
        <v>0</v>
      </c>
      <c r="GJ315" s="577">
        <f t="shared" si="658"/>
        <v>0</v>
      </c>
      <c r="GK315" s="163">
        <v>0</v>
      </c>
      <c r="GL315" s="577">
        <f t="shared" si="659"/>
        <v>0</v>
      </c>
      <c r="GM315" s="163"/>
      <c r="GN315" s="577"/>
      <c r="GO315" s="163"/>
      <c r="GP315" s="577"/>
      <c r="GQ315" s="164"/>
      <c r="GR315" s="164"/>
      <c r="GS315" s="164"/>
      <c r="GT315" s="164"/>
      <c r="GU315" s="181"/>
      <c r="GV315" s="164"/>
      <c r="GW315" s="164"/>
      <c r="GX315" s="164"/>
      <c r="GY315" s="164"/>
      <c r="GZ315" s="164"/>
      <c r="HA315" s="164"/>
      <c r="HB315" s="164"/>
      <c r="HC315" s="164"/>
      <c r="HD315" s="164"/>
      <c r="HE315" s="164"/>
      <c r="HF315" s="164"/>
      <c r="HG315" s="181"/>
      <c r="HH315" s="164"/>
      <c r="HI315" s="164"/>
      <c r="HJ315" s="164"/>
      <c r="HK315" s="181"/>
      <c r="HL315" s="164"/>
      <c r="HM315" s="164"/>
      <c r="HN315" s="164"/>
      <c r="HO315" s="181"/>
      <c r="HP315" s="164"/>
      <c r="HQ315" s="164"/>
      <c r="HR315" s="164"/>
      <c r="HS315" s="181"/>
      <c r="HT315" s="164"/>
      <c r="HU315" s="164"/>
      <c r="HV315" s="164"/>
      <c r="HW315" s="181"/>
      <c r="HX315" s="164"/>
      <c r="HY315" s="164"/>
      <c r="HZ315" s="164"/>
      <c r="IA315" s="181"/>
      <c r="IB315" s="164"/>
      <c r="IC315" s="164"/>
      <c r="ID315" s="164"/>
      <c r="IE315" s="321"/>
      <c r="IF315" s="170"/>
      <c r="IG315" s="170"/>
      <c r="IH315" s="170"/>
    </row>
    <row r="316" spans="2:242" s="327" customFormat="1" ht="56.25" hidden="1" customHeight="1" x14ac:dyDescent="0.25">
      <c r="B316" s="324"/>
      <c r="C316" s="266" t="s">
        <v>407</v>
      </c>
      <c r="D316" s="325"/>
      <c r="E316" s="164">
        <f t="shared" si="691"/>
        <v>486686.20645</v>
      </c>
      <c r="F316" s="164">
        <f>490000-3313.79355</f>
        <v>486686.20645</v>
      </c>
      <c r="G316" s="164"/>
      <c r="H316" s="164">
        <f t="shared" si="692"/>
        <v>-28659.187080000003</v>
      </c>
      <c r="I316" s="259">
        <f t="shared" si="705"/>
        <v>-28659.187080000003</v>
      </c>
      <c r="J316" s="259">
        <f t="shared" si="705"/>
        <v>0</v>
      </c>
      <c r="K316" s="164">
        <f t="shared" si="693"/>
        <v>458027.01936999999</v>
      </c>
      <c r="L316" s="164">
        <v>458027.01936999999</v>
      </c>
      <c r="M316" s="164"/>
      <c r="N316" s="164">
        <f t="shared" si="694"/>
        <v>0</v>
      </c>
      <c r="O316" s="259">
        <f t="shared" si="706"/>
        <v>0</v>
      </c>
      <c r="P316" s="259">
        <f t="shared" si="706"/>
        <v>0</v>
      </c>
      <c r="Q316" s="164">
        <f t="shared" si="695"/>
        <v>458027.01936999999</v>
      </c>
      <c r="R316" s="164">
        <v>458027.01936999999</v>
      </c>
      <c r="S316" s="164"/>
      <c r="T316" s="164">
        <f t="shared" si="696"/>
        <v>0</v>
      </c>
      <c r="U316" s="164"/>
      <c r="V316" s="164"/>
      <c r="W316" s="164">
        <f t="shared" si="697"/>
        <v>0</v>
      </c>
      <c r="X316" s="259">
        <f t="shared" si="707"/>
        <v>0</v>
      </c>
      <c r="Y316" s="259">
        <f t="shared" si="707"/>
        <v>0</v>
      </c>
      <c r="Z316" s="164">
        <v>0</v>
      </c>
      <c r="AA316" s="164"/>
      <c r="AB316" s="164"/>
      <c r="AC316" s="164">
        <f>AD316+AE316</f>
        <v>0</v>
      </c>
      <c r="AD316" s="164"/>
      <c r="AE316" s="164"/>
      <c r="AF316" s="164">
        <f>AG316+AH316</f>
        <v>0</v>
      </c>
      <c r="AG316" s="164"/>
      <c r="AH316" s="164"/>
      <c r="AI316" s="164"/>
      <c r="AJ316" s="164">
        <v>0</v>
      </c>
      <c r="AK316" s="164">
        <f t="shared" ref="AK316:AL319" si="721">Z316-AJ316</f>
        <v>0</v>
      </c>
      <c r="AL316" s="164">
        <f t="shared" si="721"/>
        <v>0</v>
      </c>
      <c r="AM316" s="175"/>
      <c r="AN316" s="175"/>
      <c r="AO316" s="165"/>
      <c r="AP316" s="165"/>
      <c r="AQ316" s="165"/>
      <c r="AR316" s="165">
        <f>Z316-AF316</f>
        <v>0</v>
      </c>
      <c r="AS316" s="164">
        <f>AT316+AU316</f>
        <v>0</v>
      </c>
      <c r="AT316" s="164"/>
      <c r="AU316" s="164"/>
      <c r="AV316" s="164">
        <f>AW316+AX316</f>
        <v>0</v>
      </c>
      <c r="AW316" s="259">
        <f t="shared" ref="AW316:AX319" si="722">AZ316-AT316</f>
        <v>0</v>
      </c>
      <c r="AX316" s="259">
        <f t="shared" si="722"/>
        <v>0</v>
      </c>
      <c r="AY316" s="164">
        <f>AZ316+BA316</f>
        <v>0</v>
      </c>
      <c r="AZ316" s="164"/>
      <c r="BA316" s="164"/>
      <c r="BB316" s="164">
        <f>BC316+BD316</f>
        <v>0</v>
      </c>
      <c r="BC316" s="164"/>
      <c r="BD316" s="164"/>
      <c r="BE316" s="164">
        <f>BF316+BG316</f>
        <v>0</v>
      </c>
      <c r="BF316" s="259">
        <f t="shared" si="708"/>
        <v>0</v>
      </c>
      <c r="BG316" s="259">
        <f t="shared" si="708"/>
        <v>0</v>
      </c>
      <c r="BH316" s="164">
        <f>BI316+BJ316</f>
        <v>0</v>
      </c>
      <c r="BI316" s="164"/>
      <c r="BJ316" s="164"/>
      <c r="BK316" s="165"/>
      <c r="BL316" s="164">
        <f>AY316</f>
        <v>0</v>
      </c>
      <c r="BM316" s="164"/>
      <c r="BN316" s="164"/>
      <c r="BO316" s="164"/>
      <c r="BP316" s="164"/>
      <c r="BQ316" s="164"/>
      <c r="BR316" s="164"/>
      <c r="BS316" s="164"/>
      <c r="BT316" s="164"/>
      <c r="BU316" s="164"/>
      <c r="BV316" s="164">
        <f>BW316+BX316</f>
        <v>0</v>
      </c>
      <c r="BW316" s="164"/>
      <c r="BX316" s="164"/>
      <c r="BY316" s="164">
        <f>BZ316+CA316</f>
        <v>0</v>
      </c>
      <c r="BZ316" s="259">
        <f t="shared" ref="BZ316:CA319" si="723">CC316-BW316</f>
        <v>0</v>
      </c>
      <c r="CA316" s="259">
        <f t="shared" si="723"/>
        <v>0</v>
      </c>
      <c r="CB316" s="164">
        <f>CC316+CD316</f>
        <v>0</v>
      </c>
      <c r="CC316" s="164"/>
      <c r="CD316" s="164"/>
      <c r="CE316" s="165"/>
      <c r="CF316" s="164">
        <f t="shared" si="700"/>
        <v>0</v>
      </c>
      <c r="CG316" s="164"/>
      <c r="CH316" s="164">
        <f>CI316+CJ316</f>
        <v>0</v>
      </c>
      <c r="CI316" s="164"/>
      <c r="CJ316" s="164"/>
      <c r="CK316" s="164">
        <f>CL316+CM316</f>
        <v>0</v>
      </c>
      <c r="CL316" s="259">
        <f t="shared" ref="CL316:CM319" si="724">CR316-CI316</f>
        <v>0</v>
      </c>
      <c r="CM316" s="259">
        <f t="shared" si="724"/>
        <v>0</v>
      </c>
      <c r="CN316" s="164">
        <f>CO316+CP316</f>
        <v>0</v>
      </c>
      <c r="CO316" s="259">
        <f>II317-CL316</f>
        <v>0</v>
      </c>
      <c r="CP316" s="259">
        <f>IJ317-CM316</f>
        <v>0</v>
      </c>
      <c r="CQ316" s="164">
        <f>CR316+CS316</f>
        <v>0</v>
      </c>
      <c r="CR316" s="164"/>
      <c r="CS316" s="164"/>
      <c r="CT316" s="164">
        <f>CU316+CV316</f>
        <v>0</v>
      </c>
      <c r="CU316" s="164"/>
      <c r="CV316" s="164"/>
      <c r="CW316" s="164">
        <f>CX316+CY317</f>
        <v>400148.26607999997</v>
      </c>
      <c r="CX316" s="164">
        <v>400148.26607999997</v>
      </c>
      <c r="CY316" s="164"/>
      <c r="CZ316" s="164">
        <f>DA316+DB316</f>
        <v>500000</v>
      </c>
      <c r="DA316" s="164">
        <v>500000</v>
      </c>
      <c r="DB316" s="164"/>
      <c r="DC316" s="164"/>
      <c r="DD316" s="164"/>
      <c r="DE316" s="164"/>
      <c r="DF316" s="164">
        <f t="shared" si="701"/>
        <v>0</v>
      </c>
      <c r="DG316" s="164">
        <f t="shared" si="709"/>
        <v>0</v>
      </c>
      <c r="DH316" s="164"/>
      <c r="DI316" s="181">
        <f t="shared" si="637"/>
        <v>400148.26607999997</v>
      </c>
      <c r="DJ316" s="164">
        <f>CX316</f>
        <v>400148.26607999997</v>
      </c>
      <c r="DK316" s="164"/>
      <c r="DL316" s="164">
        <f>DM316+DN317</f>
        <v>201166.43189000001</v>
      </c>
      <c r="DM316" s="164">
        <v>201166.43189000001</v>
      </c>
      <c r="DN316" s="164"/>
      <c r="DO316" s="164">
        <f>DP316+DQ317</f>
        <v>198981.83418999999</v>
      </c>
      <c r="DP316" s="164">
        <v>198981.83418999999</v>
      </c>
      <c r="DQ316" s="164"/>
      <c r="DR316" s="164">
        <f>DS316+DT317</f>
        <v>0</v>
      </c>
      <c r="DS316" s="164">
        <f t="shared" si="710"/>
        <v>0</v>
      </c>
      <c r="DT316" s="164"/>
      <c r="DU316" s="164">
        <f t="shared" ref="DU316:DU328" si="725">DV316+DW316</f>
        <v>455500</v>
      </c>
      <c r="DV316" s="164">
        <v>455500</v>
      </c>
      <c r="DW316" s="164"/>
      <c r="DX316" s="164">
        <f>DY316+DZ316</f>
        <v>510000</v>
      </c>
      <c r="DY316" s="164">
        <v>510000</v>
      </c>
      <c r="DZ316" s="164"/>
      <c r="EA316" s="164"/>
      <c r="EB316" s="164"/>
      <c r="EC316" s="164"/>
      <c r="ED316" s="181">
        <f>EE316</f>
        <v>23300</v>
      </c>
      <c r="EE316" s="164">
        <f>EH316-DV316</f>
        <v>23300</v>
      </c>
      <c r="EF316" s="164"/>
      <c r="EG316" s="181">
        <f t="shared" si="711"/>
        <v>478800</v>
      </c>
      <c r="EH316" s="164">
        <v>478800</v>
      </c>
      <c r="EI316" s="164"/>
      <c r="EJ316" s="164"/>
      <c r="EK316" s="164">
        <f>EL316+EN316</f>
        <v>0</v>
      </c>
      <c r="EL316" s="164"/>
      <c r="EM316" s="164"/>
      <c r="EN316" s="164"/>
      <c r="EO316" s="164">
        <f>EP316+ER316</f>
        <v>0</v>
      </c>
      <c r="EP316" s="164"/>
      <c r="EQ316" s="164"/>
      <c r="ER316" s="164"/>
      <c r="ES316" s="164">
        <f t="shared" si="712"/>
        <v>0</v>
      </c>
      <c r="ET316" s="164"/>
      <c r="EU316" s="164"/>
      <c r="EV316" s="164"/>
      <c r="EW316" s="164">
        <f t="shared" ref="EW316:EW328" si="726">EX316</f>
        <v>428800</v>
      </c>
      <c r="EX316" s="164">
        <v>428800</v>
      </c>
      <c r="EY316" s="164"/>
      <c r="EZ316" s="181">
        <f t="shared" si="638"/>
        <v>21628.610110000009</v>
      </c>
      <c r="FA316" s="164">
        <f>FD316-EX316</f>
        <v>21628.610110000009</v>
      </c>
      <c r="FB316" s="164"/>
      <c r="FC316" s="180">
        <f t="shared" si="656"/>
        <v>450428.61011000001</v>
      </c>
      <c r="FD316" s="163">
        <v>450428.61011000001</v>
      </c>
      <c r="FE316" s="163"/>
      <c r="FF316" s="163"/>
      <c r="FG316" s="163">
        <f t="shared" ref="FG316:FG328" si="727">FH316+FJ316</f>
        <v>0</v>
      </c>
      <c r="FH316" s="163">
        <f t="shared" ref="FH316:FH328" si="728">FP316-FD316</f>
        <v>0</v>
      </c>
      <c r="FI316" s="163"/>
      <c r="FJ316" s="163"/>
      <c r="FK316" s="163">
        <f>FL316+FN316</f>
        <v>0</v>
      </c>
      <c r="FL316" s="163"/>
      <c r="FM316" s="163"/>
      <c r="FN316" s="163"/>
      <c r="FO316" s="180">
        <f t="shared" si="713"/>
        <v>450428.61011000001</v>
      </c>
      <c r="FP316" s="163">
        <f>FD316</f>
        <v>450428.61011000001</v>
      </c>
      <c r="FQ316" s="163"/>
      <c r="FR316" s="163"/>
      <c r="FS316" s="163">
        <f>FU316</f>
        <v>441069.19406000001</v>
      </c>
      <c r="FT316" s="577">
        <f t="shared" si="640"/>
        <v>0.97922108889194603</v>
      </c>
      <c r="FU316" s="163">
        <v>441069.19406000001</v>
      </c>
      <c r="FV316" s="577">
        <f t="shared" si="641"/>
        <v>0.97922108889194603</v>
      </c>
      <c r="FW316" s="164"/>
      <c r="FX316" s="577"/>
      <c r="FY316" s="164"/>
      <c r="FZ316" s="672"/>
      <c r="GA316" s="163">
        <f>GC316</f>
        <v>441069.19406000001</v>
      </c>
      <c r="GB316" s="577">
        <f>GA316/FC316</f>
        <v>0.97922108889194603</v>
      </c>
      <c r="GC316" s="163">
        <v>441069.19406000001</v>
      </c>
      <c r="GD316" s="577">
        <f>GC316/FD316</f>
        <v>0.97922108889194603</v>
      </c>
      <c r="GE316" s="164"/>
      <c r="GF316" s="577"/>
      <c r="GG316" s="163"/>
      <c r="GH316" s="577"/>
      <c r="GI316" s="103">
        <f t="shared" si="703"/>
        <v>441069.19407000003</v>
      </c>
      <c r="GJ316" s="577">
        <f t="shared" si="658"/>
        <v>0.97922108891414716</v>
      </c>
      <c r="GK316" s="163">
        <v>441069.19407000003</v>
      </c>
      <c r="GL316" s="577">
        <f t="shared" si="659"/>
        <v>0.97922108891414716</v>
      </c>
      <c r="GM316" s="163"/>
      <c r="GN316" s="577"/>
      <c r="GO316" s="163"/>
      <c r="GP316" s="577"/>
      <c r="GQ316" s="164"/>
      <c r="GR316" s="164"/>
      <c r="GS316" s="164"/>
      <c r="GT316" s="164"/>
      <c r="GU316" s="181">
        <f t="shared" si="714"/>
        <v>510000</v>
      </c>
      <c r="GV316" s="164">
        <f>HP316</f>
        <v>510000</v>
      </c>
      <c r="GW316" s="164"/>
      <c r="GX316" s="164"/>
      <c r="GY316" s="164"/>
      <c r="GZ316" s="164"/>
      <c r="HA316" s="164"/>
      <c r="HB316" s="164"/>
      <c r="HC316" s="164"/>
      <c r="HD316" s="164"/>
      <c r="HE316" s="164"/>
      <c r="HF316" s="164"/>
      <c r="HG316" s="181">
        <f t="shared" si="715"/>
        <v>0</v>
      </c>
      <c r="HH316" s="164">
        <f>HP316-GV316</f>
        <v>0</v>
      </c>
      <c r="HI316" s="164"/>
      <c r="HJ316" s="164"/>
      <c r="HK316" s="181">
        <f t="shared" si="716"/>
        <v>0</v>
      </c>
      <c r="HL316" s="164">
        <f>IF316-GZ316</f>
        <v>0</v>
      </c>
      <c r="HM316" s="164"/>
      <c r="HN316" s="164"/>
      <c r="HO316" s="181">
        <f t="shared" si="717"/>
        <v>510000</v>
      </c>
      <c r="HP316" s="164">
        <v>510000</v>
      </c>
      <c r="HQ316" s="164"/>
      <c r="HR316" s="164"/>
      <c r="HS316" s="181">
        <f t="shared" si="718"/>
        <v>0</v>
      </c>
      <c r="HT316" s="164">
        <f>IN316</f>
        <v>0</v>
      </c>
      <c r="HU316" s="164"/>
      <c r="HV316" s="164"/>
      <c r="HW316" s="181">
        <f t="shared" si="719"/>
        <v>0</v>
      </c>
      <c r="HX316" s="164">
        <f>IR316-HL316</f>
        <v>0</v>
      </c>
      <c r="HY316" s="164"/>
      <c r="HZ316" s="164"/>
      <c r="IA316" s="181">
        <f t="shared" si="720"/>
        <v>0</v>
      </c>
      <c r="IB316" s="164">
        <f>IV316</f>
        <v>0</v>
      </c>
      <c r="IC316" s="164"/>
      <c r="ID316" s="164"/>
      <c r="IE316" s="321"/>
      <c r="IF316" s="170"/>
      <c r="IG316" s="170"/>
      <c r="IH316" s="170"/>
    </row>
    <row r="317" spans="2:242" s="327" customFormat="1" ht="47.25" hidden="1" customHeight="1" x14ac:dyDescent="0.25">
      <c r="B317" s="324"/>
      <c r="C317" s="266" t="s">
        <v>528</v>
      </c>
      <c r="D317" s="325"/>
      <c r="E317" s="164">
        <f t="shared" si="691"/>
        <v>34528.16878</v>
      </c>
      <c r="F317" s="164"/>
      <c r="G317" s="164">
        <v>34528.16878</v>
      </c>
      <c r="H317" s="164">
        <f t="shared" si="692"/>
        <v>20000</v>
      </c>
      <c r="I317" s="259">
        <f t="shared" si="705"/>
        <v>20000</v>
      </c>
      <c r="J317" s="259">
        <f t="shared" si="705"/>
        <v>0</v>
      </c>
      <c r="K317" s="164">
        <f t="shared" si="693"/>
        <v>54528.16878</v>
      </c>
      <c r="L317" s="164">
        <v>20000</v>
      </c>
      <c r="M317" s="164">
        <v>34528.16878</v>
      </c>
      <c r="N317" s="164">
        <f t="shared" si="694"/>
        <v>0</v>
      </c>
      <c r="O317" s="259">
        <f t="shared" si="706"/>
        <v>0</v>
      </c>
      <c r="P317" s="259">
        <f t="shared" si="706"/>
        <v>0</v>
      </c>
      <c r="Q317" s="164">
        <f t="shared" si="695"/>
        <v>54528.16878</v>
      </c>
      <c r="R317" s="164">
        <v>20000</v>
      </c>
      <c r="S317" s="164">
        <v>34528.16878</v>
      </c>
      <c r="T317" s="164">
        <f t="shared" si="696"/>
        <v>0</v>
      </c>
      <c r="U317" s="164"/>
      <c r="V317" s="164"/>
      <c r="W317" s="164">
        <f t="shared" si="697"/>
        <v>0</v>
      </c>
      <c r="X317" s="259">
        <f t="shared" si="707"/>
        <v>0</v>
      </c>
      <c r="Y317" s="259">
        <f t="shared" si="707"/>
        <v>0</v>
      </c>
      <c r="Z317" s="164">
        <f>AA317+AB317</f>
        <v>0</v>
      </c>
      <c r="AA317" s="164"/>
      <c r="AB317" s="164"/>
      <c r="AC317" s="164">
        <f>AD317+AE317</f>
        <v>0</v>
      </c>
      <c r="AD317" s="164"/>
      <c r="AE317" s="164"/>
      <c r="AF317" s="164">
        <f>AG317+AH317</f>
        <v>0</v>
      </c>
      <c r="AG317" s="164"/>
      <c r="AH317" s="164"/>
      <c r="AI317" s="164"/>
      <c r="AJ317" s="164">
        <v>0</v>
      </c>
      <c r="AK317" s="164">
        <f t="shared" si="721"/>
        <v>0</v>
      </c>
      <c r="AL317" s="164">
        <f t="shared" si="721"/>
        <v>0</v>
      </c>
      <c r="AM317" s="175"/>
      <c r="AN317" s="175"/>
      <c r="AO317" s="165"/>
      <c r="AP317" s="165"/>
      <c r="AQ317" s="165"/>
      <c r="AR317" s="165">
        <f>Z317-AF317</f>
        <v>0</v>
      </c>
      <c r="AS317" s="164">
        <f>AT317+AU317</f>
        <v>0</v>
      </c>
      <c r="AT317" s="164"/>
      <c r="AU317" s="164"/>
      <c r="AV317" s="164">
        <f>AW317+AX317</f>
        <v>0</v>
      </c>
      <c r="AW317" s="259">
        <f t="shared" si="722"/>
        <v>0</v>
      </c>
      <c r="AX317" s="259">
        <f t="shared" si="722"/>
        <v>0</v>
      </c>
      <c r="AY317" s="164">
        <f>AZ317+BA317</f>
        <v>0</v>
      </c>
      <c r="AZ317" s="164"/>
      <c r="BA317" s="164"/>
      <c r="BB317" s="164">
        <f>BC317+BD317</f>
        <v>0</v>
      </c>
      <c r="BC317" s="164"/>
      <c r="BD317" s="164"/>
      <c r="BE317" s="164">
        <f>BF317+BG317</f>
        <v>0</v>
      </c>
      <c r="BF317" s="259">
        <f t="shared" si="708"/>
        <v>0</v>
      </c>
      <c r="BG317" s="259">
        <f t="shared" si="708"/>
        <v>0</v>
      </c>
      <c r="BH317" s="164">
        <f>BI317+BJ317</f>
        <v>0</v>
      </c>
      <c r="BI317" s="164"/>
      <c r="BJ317" s="164"/>
      <c r="BK317" s="165"/>
      <c r="BL317" s="164">
        <f>AY317</f>
        <v>0</v>
      </c>
      <c r="BM317" s="164"/>
      <c r="BN317" s="164"/>
      <c r="BO317" s="164"/>
      <c r="BP317" s="164"/>
      <c r="BQ317" s="164"/>
      <c r="BR317" s="164"/>
      <c r="BS317" s="164"/>
      <c r="BT317" s="164"/>
      <c r="BU317" s="164"/>
      <c r="BV317" s="164">
        <f>BW317+BX317</f>
        <v>0</v>
      </c>
      <c r="BW317" s="164"/>
      <c r="BX317" s="164"/>
      <c r="BY317" s="164">
        <f>BZ317+CA317</f>
        <v>0</v>
      </c>
      <c r="BZ317" s="259">
        <f t="shared" si="723"/>
        <v>0</v>
      </c>
      <c r="CA317" s="259">
        <f t="shared" si="723"/>
        <v>0</v>
      </c>
      <c r="CB317" s="164">
        <f>CC317+CD317</f>
        <v>0</v>
      </c>
      <c r="CC317" s="164"/>
      <c r="CD317" s="164"/>
      <c r="CE317" s="165"/>
      <c r="CF317" s="164">
        <f t="shared" si="700"/>
        <v>0</v>
      </c>
      <c r="CG317" s="164"/>
      <c r="CH317" s="164">
        <f>CI317+CJ317</f>
        <v>0</v>
      </c>
      <c r="CI317" s="164"/>
      <c r="CJ317" s="164"/>
      <c r="CK317" s="164">
        <f>CL317+CM317</f>
        <v>0</v>
      </c>
      <c r="CL317" s="259">
        <f t="shared" si="724"/>
        <v>0</v>
      </c>
      <c r="CM317" s="259">
        <f t="shared" si="724"/>
        <v>0</v>
      </c>
      <c r="CN317" s="164">
        <f>CO317+CP317</f>
        <v>0</v>
      </c>
      <c r="CO317" s="259">
        <f>II319-CL317</f>
        <v>0</v>
      </c>
      <c r="CP317" s="259">
        <f>IJ319-CM317</f>
        <v>0</v>
      </c>
      <c r="CQ317" s="164">
        <f>CR317+CS317</f>
        <v>0</v>
      </c>
      <c r="CR317" s="164"/>
      <c r="CS317" s="164"/>
      <c r="CT317" s="164">
        <f>CU317+CV317</f>
        <v>0</v>
      </c>
      <c r="CU317" s="164"/>
      <c r="CV317" s="164"/>
      <c r="CW317" s="164">
        <f>CX317+CY319</f>
        <v>0</v>
      </c>
      <c r="CX317" s="164">
        <v>0</v>
      </c>
      <c r="CY317" s="164"/>
      <c r="CZ317" s="164">
        <f>DA317+DB317</f>
        <v>0</v>
      </c>
      <c r="DA317" s="164"/>
      <c r="DB317" s="164"/>
      <c r="DC317" s="164"/>
      <c r="DD317" s="164"/>
      <c r="DE317" s="164"/>
      <c r="DF317" s="164">
        <f t="shared" si="701"/>
        <v>0</v>
      </c>
      <c r="DG317" s="164">
        <f t="shared" si="709"/>
        <v>0</v>
      </c>
      <c r="DH317" s="164"/>
      <c r="DI317" s="181">
        <f t="shared" si="637"/>
        <v>0</v>
      </c>
      <c r="DJ317" s="164">
        <v>0</v>
      </c>
      <c r="DK317" s="164"/>
      <c r="DL317" s="164">
        <f>DM317+DN319</f>
        <v>0</v>
      </c>
      <c r="DM317" s="164">
        <v>0</v>
      </c>
      <c r="DN317" s="164"/>
      <c r="DO317" s="164">
        <f>DP317+DQ319</f>
        <v>0</v>
      </c>
      <c r="DP317" s="164">
        <v>0</v>
      </c>
      <c r="DQ317" s="164"/>
      <c r="DR317" s="164">
        <f>DS317+DT319</f>
        <v>0</v>
      </c>
      <c r="DS317" s="164">
        <f t="shared" si="710"/>
        <v>0</v>
      </c>
      <c r="DT317" s="164"/>
      <c r="DU317" s="164">
        <f t="shared" si="725"/>
        <v>0</v>
      </c>
      <c r="DV317" s="164">
        <v>0</v>
      </c>
      <c r="DW317" s="164"/>
      <c r="DX317" s="164">
        <f>DY317+DZ317</f>
        <v>0</v>
      </c>
      <c r="DY317" s="164"/>
      <c r="DZ317" s="164"/>
      <c r="EA317" s="164"/>
      <c r="EB317" s="164"/>
      <c r="EC317" s="164"/>
      <c r="ED317" s="181">
        <f t="shared" ref="ED317:ED328" si="729">EE317</f>
        <v>0</v>
      </c>
      <c r="EE317" s="164"/>
      <c r="EF317" s="164"/>
      <c r="EG317" s="181">
        <f t="shared" si="711"/>
        <v>0</v>
      </c>
      <c r="EH317" s="164"/>
      <c r="EI317" s="164"/>
      <c r="EJ317" s="164"/>
      <c r="EK317" s="164">
        <f>EL317+EN317</f>
        <v>0</v>
      </c>
      <c r="EL317" s="164">
        <f>ET317-EH317</f>
        <v>0</v>
      </c>
      <c r="EM317" s="164"/>
      <c r="EN317" s="164"/>
      <c r="EO317" s="164">
        <f>EP317+ER317</f>
        <v>0</v>
      </c>
      <c r="EP317" s="164"/>
      <c r="EQ317" s="164"/>
      <c r="ER317" s="164"/>
      <c r="ES317" s="164">
        <f t="shared" si="712"/>
        <v>0</v>
      </c>
      <c r="ET317" s="164"/>
      <c r="EU317" s="164"/>
      <c r="EV317" s="164"/>
      <c r="EW317" s="164">
        <f t="shared" si="726"/>
        <v>0</v>
      </c>
      <c r="EX317" s="164"/>
      <c r="EY317" s="164"/>
      <c r="EZ317" s="181">
        <f t="shared" si="638"/>
        <v>0</v>
      </c>
      <c r="FA317" s="164"/>
      <c r="FB317" s="164"/>
      <c r="FC317" s="180">
        <f>FD317</f>
        <v>28141.478609999998</v>
      </c>
      <c r="FD317" s="163">
        <f>FD318</f>
        <v>28141.478609999998</v>
      </c>
      <c r="FE317" s="163"/>
      <c r="FF317" s="163"/>
      <c r="FG317" s="163">
        <f t="shared" si="727"/>
        <v>0</v>
      </c>
      <c r="FH317" s="163">
        <f t="shared" si="728"/>
        <v>0</v>
      </c>
      <c r="FI317" s="163"/>
      <c r="FJ317" s="163"/>
      <c r="FK317" s="163">
        <f>FL317+FN317</f>
        <v>0</v>
      </c>
      <c r="FL317" s="163"/>
      <c r="FM317" s="163"/>
      <c r="FN317" s="163"/>
      <c r="FO317" s="180">
        <f t="shared" si="713"/>
        <v>28141.478609999998</v>
      </c>
      <c r="FP317" s="163">
        <f t="shared" ref="FP317:FP328" si="730">FD317</f>
        <v>28141.478609999998</v>
      </c>
      <c r="FQ317" s="163"/>
      <c r="FR317" s="163"/>
      <c r="FS317" s="163"/>
      <c r="FT317" s="577">
        <f t="shared" si="640"/>
        <v>0</v>
      </c>
      <c r="FU317" s="163"/>
      <c r="FV317" s="577">
        <f t="shared" si="641"/>
        <v>0</v>
      </c>
      <c r="FW317" s="164"/>
      <c r="FX317" s="577"/>
      <c r="FY317" s="164"/>
      <c r="FZ317" s="672"/>
      <c r="GA317" s="163"/>
      <c r="GB317" s="577"/>
      <c r="GC317" s="163"/>
      <c r="GD317" s="577"/>
      <c r="GE317" s="164"/>
      <c r="GF317" s="577"/>
      <c r="GG317" s="163"/>
      <c r="GH317" s="577"/>
      <c r="GI317" s="103">
        <f t="shared" si="703"/>
        <v>0</v>
      </c>
      <c r="GJ317" s="577">
        <f t="shared" si="658"/>
        <v>0</v>
      </c>
      <c r="GK317" s="163">
        <f>GK318</f>
        <v>0</v>
      </c>
      <c r="GL317" s="577">
        <f t="shared" si="659"/>
        <v>0</v>
      </c>
      <c r="GM317" s="163"/>
      <c r="GN317" s="577"/>
      <c r="GO317" s="163"/>
      <c r="GP317" s="577"/>
      <c r="GQ317" s="164"/>
      <c r="GR317" s="164"/>
      <c r="GS317" s="164"/>
      <c r="GT317" s="164"/>
      <c r="GU317" s="181">
        <f t="shared" si="714"/>
        <v>0</v>
      </c>
      <c r="GV317" s="164"/>
      <c r="GW317" s="164"/>
      <c r="GX317" s="164"/>
      <c r="GY317" s="164"/>
      <c r="GZ317" s="164"/>
      <c r="HA317" s="164"/>
      <c r="HB317" s="164"/>
      <c r="HC317" s="164"/>
      <c r="HD317" s="164"/>
      <c r="HE317" s="164"/>
      <c r="HF317" s="164"/>
      <c r="HG317" s="181">
        <f t="shared" si="715"/>
        <v>0</v>
      </c>
      <c r="HH317" s="164"/>
      <c r="HI317" s="164"/>
      <c r="HJ317" s="164"/>
      <c r="HK317" s="181">
        <f t="shared" si="716"/>
        <v>0</v>
      </c>
      <c r="HL317" s="164"/>
      <c r="HM317" s="164"/>
      <c r="HN317" s="164"/>
      <c r="HO317" s="181">
        <f t="shared" si="717"/>
        <v>0</v>
      </c>
      <c r="HP317" s="164"/>
      <c r="HQ317" s="164"/>
      <c r="HR317" s="164"/>
      <c r="HS317" s="181">
        <f t="shared" si="718"/>
        <v>0</v>
      </c>
      <c r="HT317" s="164"/>
      <c r="HU317" s="164"/>
      <c r="HV317" s="164"/>
      <c r="HW317" s="181">
        <f t="shared" si="719"/>
        <v>0</v>
      </c>
      <c r="HX317" s="164"/>
      <c r="HY317" s="164"/>
      <c r="HZ317" s="164"/>
      <c r="IA317" s="181">
        <f t="shared" si="720"/>
        <v>0</v>
      </c>
      <c r="IB317" s="164"/>
      <c r="IC317" s="164"/>
      <c r="ID317" s="164"/>
      <c r="IE317" s="321"/>
      <c r="IF317" s="170"/>
      <c r="IG317" s="170"/>
      <c r="IH317" s="170"/>
    </row>
    <row r="318" spans="2:242" s="327" customFormat="1" ht="47.25" hidden="1" customHeight="1" x14ac:dyDescent="0.25">
      <c r="B318" s="324"/>
      <c r="C318" s="164" t="s">
        <v>330</v>
      </c>
      <c r="D318" s="325"/>
      <c r="E318" s="164"/>
      <c r="F318" s="164"/>
      <c r="G318" s="164"/>
      <c r="H318" s="164"/>
      <c r="I318" s="259"/>
      <c r="J318" s="259"/>
      <c r="K318" s="164"/>
      <c r="L318" s="164"/>
      <c r="M318" s="164"/>
      <c r="N318" s="164"/>
      <c r="O318" s="259"/>
      <c r="P318" s="259"/>
      <c r="Q318" s="164"/>
      <c r="R318" s="164"/>
      <c r="S318" s="164"/>
      <c r="T318" s="164"/>
      <c r="U318" s="164"/>
      <c r="V318" s="164"/>
      <c r="W318" s="164"/>
      <c r="X318" s="259"/>
      <c r="Y318" s="259"/>
      <c r="Z318" s="164"/>
      <c r="AA318" s="164"/>
      <c r="AB318" s="164"/>
      <c r="AC318" s="164"/>
      <c r="AD318" s="164"/>
      <c r="AE318" s="164"/>
      <c r="AF318" s="164"/>
      <c r="AG318" s="164"/>
      <c r="AH318" s="164"/>
      <c r="AI318" s="164"/>
      <c r="AJ318" s="164"/>
      <c r="AK318" s="164"/>
      <c r="AL318" s="164"/>
      <c r="AM318" s="676"/>
      <c r="AN318" s="676"/>
      <c r="AO318" s="165"/>
      <c r="AP318" s="165"/>
      <c r="AQ318" s="165"/>
      <c r="AR318" s="165"/>
      <c r="AS318" s="164"/>
      <c r="AT318" s="164"/>
      <c r="AU318" s="164"/>
      <c r="AV318" s="164"/>
      <c r="AW318" s="259"/>
      <c r="AX318" s="259"/>
      <c r="AY318" s="164"/>
      <c r="AZ318" s="164"/>
      <c r="BA318" s="164"/>
      <c r="BB318" s="164"/>
      <c r="BC318" s="164"/>
      <c r="BD318" s="164"/>
      <c r="BE318" s="164"/>
      <c r="BF318" s="259"/>
      <c r="BG318" s="259"/>
      <c r="BH318" s="164"/>
      <c r="BI318" s="164"/>
      <c r="BJ318" s="164"/>
      <c r="BK318" s="165"/>
      <c r="BL318" s="164"/>
      <c r="BM318" s="164"/>
      <c r="BN318" s="164"/>
      <c r="BO318" s="164"/>
      <c r="BP318" s="164"/>
      <c r="BQ318" s="164"/>
      <c r="BR318" s="164"/>
      <c r="BS318" s="164"/>
      <c r="BT318" s="164"/>
      <c r="BU318" s="164"/>
      <c r="BV318" s="164"/>
      <c r="BW318" s="164"/>
      <c r="BX318" s="164"/>
      <c r="BY318" s="164"/>
      <c r="BZ318" s="259"/>
      <c r="CA318" s="259"/>
      <c r="CB318" s="164"/>
      <c r="CC318" s="164"/>
      <c r="CD318" s="164"/>
      <c r="CE318" s="165"/>
      <c r="CF318" s="164"/>
      <c r="CG318" s="164"/>
      <c r="CH318" s="164"/>
      <c r="CI318" s="164"/>
      <c r="CJ318" s="164"/>
      <c r="CK318" s="164"/>
      <c r="CL318" s="259"/>
      <c r="CM318" s="259"/>
      <c r="CN318" s="164"/>
      <c r="CO318" s="259"/>
      <c r="CP318" s="259"/>
      <c r="CQ318" s="164"/>
      <c r="CR318" s="164"/>
      <c r="CS318" s="164"/>
      <c r="CT318" s="164"/>
      <c r="CU318" s="164"/>
      <c r="CV318" s="164"/>
      <c r="CW318" s="164"/>
      <c r="CX318" s="164"/>
      <c r="CY318" s="164"/>
      <c r="CZ318" s="164"/>
      <c r="DA318" s="164"/>
      <c r="DB318" s="164"/>
      <c r="DC318" s="164"/>
      <c r="DD318" s="164"/>
      <c r="DE318" s="164"/>
      <c r="DF318" s="164"/>
      <c r="DG318" s="164"/>
      <c r="DH318" s="164"/>
      <c r="DI318" s="181"/>
      <c r="DJ318" s="164"/>
      <c r="DK318" s="164"/>
      <c r="DL318" s="164"/>
      <c r="DM318" s="164"/>
      <c r="DN318" s="164"/>
      <c r="DO318" s="164"/>
      <c r="DP318" s="164"/>
      <c r="DQ318" s="164"/>
      <c r="DR318" s="164"/>
      <c r="DS318" s="164"/>
      <c r="DT318" s="164"/>
      <c r="DU318" s="164"/>
      <c r="DV318" s="164"/>
      <c r="DW318" s="164"/>
      <c r="DX318" s="164"/>
      <c r="DY318" s="164"/>
      <c r="DZ318" s="164"/>
      <c r="EA318" s="164"/>
      <c r="EB318" s="164"/>
      <c r="EC318" s="164"/>
      <c r="ED318" s="181"/>
      <c r="EE318" s="164"/>
      <c r="EF318" s="164"/>
      <c r="EG318" s="181"/>
      <c r="EH318" s="164"/>
      <c r="EI318" s="164"/>
      <c r="EJ318" s="164"/>
      <c r="EK318" s="164"/>
      <c r="EL318" s="164"/>
      <c r="EM318" s="164"/>
      <c r="EN318" s="164"/>
      <c r="EO318" s="164"/>
      <c r="EP318" s="164"/>
      <c r="EQ318" s="164"/>
      <c r="ER318" s="164"/>
      <c r="ES318" s="164"/>
      <c r="ET318" s="164"/>
      <c r="EU318" s="164"/>
      <c r="EV318" s="164"/>
      <c r="EW318" s="164"/>
      <c r="EX318" s="164"/>
      <c r="EY318" s="164"/>
      <c r="EZ318" s="181"/>
      <c r="FA318" s="164"/>
      <c r="FB318" s="164"/>
      <c r="FC318" s="180">
        <f>FD318</f>
        <v>28141.478609999998</v>
      </c>
      <c r="FD318" s="163">
        <f>28141.47861</f>
        <v>28141.478609999998</v>
      </c>
      <c r="FE318" s="163"/>
      <c r="FF318" s="163"/>
      <c r="FG318" s="163"/>
      <c r="FH318" s="163"/>
      <c r="FI318" s="163"/>
      <c r="FJ318" s="163"/>
      <c r="FK318" s="163"/>
      <c r="FL318" s="163"/>
      <c r="FM318" s="163"/>
      <c r="FN318" s="163"/>
      <c r="FO318" s="180"/>
      <c r="FP318" s="163"/>
      <c r="FQ318" s="163"/>
      <c r="FR318" s="163"/>
      <c r="FS318" s="163"/>
      <c r="FT318" s="577">
        <f t="shared" si="640"/>
        <v>0</v>
      </c>
      <c r="FU318" s="163"/>
      <c r="FV318" s="577">
        <f t="shared" si="641"/>
        <v>0</v>
      </c>
      <c r="FW318" s="164"/>
      <c r="FX318" s="577"/>
      <c r="FY318" s="164"/>
      <c r="FZ318" s="672"/>
      <c r="GA318" s="163"/>
      <c r="GB318" s="577"/>
      <c r="GC318" s="163"/>
      <c r="GD318" s="577"/>
      <c r="GE318" s="164"/>
      <c r="GF318" s="577"/>
      <c r="GG318" s="163"/>
      <c r="GH318" s="577"/>
      <c r="GI318" s="103">
        <f>GK318</f>
        <v>0</v>
      </c>
      <c r="GJ318" s="577">
        <f t="shared" si="658"/>
        <v>0</v>
      </c>
      <c r="GK318" s="163">
        <v>0</v>
      </c>
      <c r="GL318" s="577">
        <f t="shared" si="659"/>
        <v>0</v>
      </c>
      <c r="GM318" s="163"/>
      <c r="GN318" s="577"/>
      <c r="GO318" s="163"/>
      <c r="GP318" s="577"/>
      <c r="GQ318" s="164"/>
      <c r="GR318" s="164"/>
      <c r="GS318" s="164"/>
      <c r="GT318" s="164"/>
      <c r="GU318" s="181"/>
      <c r="GV318" s="164"/>
      <c r="GW318" s="164"/>
      <c r="GX318" s="164"/>
      <c r="GY318" s="164"/>
      <c r="GZ318" s="164"/>
      <c r="HA318" s="164"/>
      <c r="HB318" s="164"/>
      <c r="HC318" s="164"/>
      <c r="HD318" s="164"/>
      <c r="HE318" s="164"/>
      <c r="HF318" s="164"/>
      <c r="HG318" s="181"/>
      <c r="HH318" s="164"/>
      <c r="HI318" s="164"/>
      <c r="HJ318" s="164"/>
      <c r="HK318" s="181"/>
      <c r="HL318" s="164"/>
      <c r="HM318" s="164"/>
      <c r="HN318" s="164"/>
      <c r="HO318" s="181"/>
      <c r="HP318" s="164"/>
      <c r="HQ318" s="164"/>
      <c r="HR318" s="164"/>
      <c r="HS318" s="181"/>
      <c r="HT318" s="164"/>
      <c r="HU318" s="164"/>
      <c r="HV318" s="164"/>
      <c r="HW318" s="181"/>
      <c r="HX318" s="164"/>
      <c r="HY318" s="164"/>
      <c r="HZ318" s="164"/>
      <c r="IA318" s="181"/>
      <c r="IB318" s="164"/>
      <c r="IC318" s="164"/>
      <c r="ID318" s="164"/>
      <c r="IE318" s="321"/>
      <c r="IF318" s="170"/>
      <c r="IG318" s="170"/>
      <c r="IH318" s="170"/>
    </row>
    <row r="319" spans="2:242" s="327" customFormat="1" ht="60.75" hidden="1" customHeight="1" x14ac:dyDescent="0.25">
      <c r="B319" s="324"/>
      <c r="C319" s="266" t="s">
        <v>520</v>
      </c>
      <c r="D319" s="325"/>
      <c r="E319" s="164">
        <f t="shared" si="691"/>
        <v>26746.969490000003</v>
      </c>
      <c r="F319" s="164">
        <f>29360.76304-2613.79355</f>
        <v>26746.969490000003</v>
      </c>
      <c r="G319" s="164"/>
      <c r="H319" s="164">
        <f t="shared" si="692"/>
        <v>1.9999999858555384E-4</v>
      </c>
      <c r="I319" s="259">
        <f t="shared" si="705"/>
        <v>1.9999999858555384E-4</v>
      </c>
      <c r="J319" s="259">
        <f t="shared" si="705"/>
        <v>0</v>
      </c>
      <c r="K319" s="164">
        <f t="shared" si="693"/>
        <v>26746.969690000002</v>
      </c>
      <c r="L319" s="164">
        <v>26746.969690000002</v>
      </c>
      <c r="M319" s="164"/>
      <c r="N319" s="164">
        <f t="shared" si="694"/>
        <v>0</v>
      </c>
      <c r="O319" s="259">
        <f t="shared" si="706"/>
        <v>0</v>
      </c>
      <c r="P319" s="259">
        <f t="shared" si="706"/>
        <v>0</v>
      </c>
      <c r="Q319" s="164">
        <f t="shared" si="695"/>
        <v>26746.969690000002</v>
      </c>
      <c r="R319" s="164">
        <v>26746.969690000002</v>
      </c>
      <c r="S319" s="164"/>
      <c r="T319" s="164">
        <f t="shared" si="696"/>
        <v>0</v>
      </c>
      <c r="U319" s="164"/>
      <c r="V319" s="164"/>
      <c r="W319" s="164">
        <f t="shared" si="697"/>
        <v>13579.62823</v>
      </c>
      <c r="X319" s="259">
        <f t="shared" si="707"/>
        <v>13579.62823</v>
      </c>
      <c r="Y319" s="259">
        <f t="shared" si="707"/>
        <v>0</v>
      </c>
      <c r="Z319" s="164">
        <f>AA319+AB319</f>
        <v>13579.62823</v>
      </c>
      <c r="AA319" s="164">
        <v>13579.62823</v>
      </c>
      <c r="AB319" s="164"/>
      <c r="AC319" s="164">
        <f>AD319+AE319</f>
        <v>0</v>
      </c>
      <c r="AD319" s="164"/>
      <c r="AE319" s="164"/>
      <c r="AF319" s="164">
        <f>AG319+AH319</f>
        <v>13579.62823</v>
      </c>
      <c r="AG319" s="164">
        <f>AA319</f>
        <v>13579.62823</v>
      </c>
      <c r="AH319" s="164"/>
      <c r="AI319" s="164"/>
      <c r="AJ319" s="164">
        <v>0</v>
      </c>
      <c r="AK319" s="164">
        <f t="shared" si="721"/>
        <v>13579.62823</v>
      </c>
      <c r="AL319" s="164">
        <f t="shared" si="721"/>
        <v>0</v>
      </c>
      <c r="AM319" s="175"/>
      <c r="AN319" s="175"/>
      <c r="AO319" s="165">
        <v>1</v>
      </c>
      <c r="AP319" s="165"/>
      <c r="AQ319" s="165">
        <f>AG319</f>
        <v>13579.62823</v>
      </c>
      <c r="AR319" s="165">
        <f>Z319-AF319</f>
        <v>0</v>
      </c>
      <c r="AS319" s="164">
        <f>AT319+AU319</f>
        <v>0</v>
      </c>
      <c r="AT319" s="164"/>
      <c r="AU319" s="164"/>
      <c r="AV319" s="164">
        <f>AW319+AX319</f>
        <v>0</v>
      </c>
      <c r="AW319" s="259">
        <f t="shared" si="722"/>
        <v>0</v>
      </c>
      <c r="AX319" s="259">
        <f t="shared" si="722"/>
        <v>0</v>
      </c>
      <c r="AY319" s="164">
        <f>AZ319+BA319</f>
        <v>0</v>
      </c>
      <c r="AZ319" s="164"/>
      <c r="BA319" s="164"/>
      <c r="BB319" s="164">
        <f>BC319+BD319</f>
        <v>0</v>
      </c>
      <c r="BC319" s="164"/>
      <c r="BD319" s="164"/>
      <c r="BE319" s="164">
        <f>BF319+BG319</f>
        <v>0</v>
      </c>
      <c r="BF319" s="259">
        <f t="shared" si="708"/>
        <v>0</v>
      </c>
      <c r="BG319" s="259">
        <f t="shared" si="708"/>
        <v>0</v>
      </c>
      <c r="BH319" s="164">
        <f>BI319+BJ319</f>
        <v>0</v>
      </c>
      <c r="BI319" s="164"/>
      <c r="BJ319" s="164"/>
      <c r="BK319" s="165">
        <v>1</v>
      </c>
      <c r="BL319" s="164">
        <f>AY319</f>
        <v>0</v>
      </c>
      <c r="BM319" s="164"/>
      <c r="BN319" s="164"/>
      <c r="BO319" s="164"/>
      <c r="BP319" s="164"/>
      <c r="BQ319" s="164"/>
      <c r="BR319" s="164"/>
      <c r="BS319" s="164"/>
      <c r="BT319" s="164"/>
      <c r="BU319" s="164"/>
      <c r="BV319" s="164">
        <f>BW319+BX319</f>
        <v>0</v>
      </c>
      <c r="BW319" s="164"/>
      <c r="BX319" s="164"/>
      <c r="BY319" s="164">
        <f>BZ319+CA319</f>
        <v>0</v>
      </c>
      <c r="BZ319" s="259">
        <f t="shared" si="723"/>
        <v>0</v>
      </c>
      <c r="CA319" s="259">
        <f t="shared" si="723"/>
        <v>0</v>
      </c>
      <c r="CB319" s="164">
        <f>CC319+CD319</f>
        <v>0</v>
      </c>
      <c r="CC319" s="164"/>
      <c r="CD319" s="164"/>
      <c r="CE319" s="165">
        <v>1</v>
      </c>
      <c r="CF319" s="164">
        <f t="shared" si="700"/>
        <v>0</v>
      </c>
      <c r="CG319" s="164"/>
      <c r="CH319" s="164">
        <f>CI319+CJ319</f>
        <v>0</v>
      </c>
      <c r="CI319" s="164"/>
      <c r="CJ319" s="164"/>
      <c r="CK319" s="164">
        <f>CL319+CM319</f>
        <v>0</v>
      </c>
      <c r="CL319" s="259">
        <f t="shared" si="724"/>
        <v>0</v>
      </c>
      <c r="CM319" s="259">
        <f t="shared" si="724"/>
        <v>0</v>
      </c>
      <c r="CN319" s="164">
        <f>CO319+CP319</f>
        <v>0</v>
      </c>
      <c r="CO319" s="259">
        <f>II322-CL319</f>
        <v>0</v>
      </c>
      <c r="CP319" s="259">
        <f>IJ322-CM319</f>
        <v>0</v>
      </c>
      <c r="CQ319" s="164">
        <f>CR319+CS319</f>
        <v>0</v>
      </c>
      <c r="CR319" s="164"/>
      <c r="CS319" s="164"/>
      <c r="CT319" s="164">
        <f>CU319+CV319</f>
        <v>0</v>
      </c>
      <c r="CU319" s="164"/>
      <c r="CV319" s="164"/>
      <c r="CW319" s="164">
        <f>CX319+CY322</f>
        <v>71885.182390000002</v>
      </c>
      <c r="CX319" s="164">
        <v>71885.182390000002</v>
      </c>
      <c r="CY319" s="164"/>
      <c r="CZ319" s="164">
        <f>DA319+DB319</f>
        <v>0</v>
      </c>
      <c r="DA319" s="164"/>
      <c r="DB319" s="164"/>
      <c r="DC319" s="164"/>
      <c r="DD319" s="164"/>
      <c r="DE319" s="164"/>
      <c r="DF319" s="164">
        <f t="shared" si="701"/>
        <v>0</v>
      </c>
      <c r="DG319" s="164">
        <f t="shared" si="709"/>
        <v>0</v>
      </c>
      <c r="DH319" s="164"/>
      <c r="DI319" s="181">
        <f t="shared" si="637"/>
        <v>71885.182390000002</v>
      </c>
      <c r="DJ319" s="164">
        <f>CX319</f>
        <v>71885.182390000002</v>
      </c>
      <c r="DK319" s="164"/>
      <c r="DL319" s="164">
        <f>DM319+DN322</f>
        <v>38571.555890000003</v>
      </c>
      <c r="DM319" s="164">
        <f>33890.21235+4681.34354</f>
        <v>38571.555890000003</v>
      </c>
      <c r="DN319" s="164"/>
      <c r="DO319" s="164">
        <f>DP319+DQ322</f>
        <v>0</v>
      </c>
      <c r="DP319" s="164">
        <v>0</v>
      </c>
      <c r="DQ319" s="164"/>
      <c r="DR319" s="164">
        <f>DS319+DT322</f>
        <v>33313.626499999998</v>
      </c>
      <c r="DS319" s="164">
        <f t="shared" si="710"/>
        <v>33313.626499999998</v>
      </c>
      <c r="DT319" s="164"/>
      <c r="DU319" s="164">
        <f t="shared" si="725"/>
        <v>6000</v>
      </c>
      <c r="DV319" s="164">
        <v>6000</v>
      </c>
      <c r="DW319" s="164"/>
      <c r="DX319" s="164">
        <f>DY319+DZ319</f>
        <v>0</v>
      </c>
      <c r="DY319" s="164"/>
      <c r="DZ319" s="164"/>
      <c r="EA319" s="164"/>
      <c r="EB319" s="164"/>
      <c r="EC319" s="164"/>
      <c r="ED319" s="181">
        <f t="shared" si="729"/>
        <v>0</v>
      </c>
      <c r="EE319" s="164">
        <f t="shared" ref="EE319:EE328" si="731">EH319-DV319</f>
        <v>0</v>
      </c>
      <c r="EF319" s="164"/>
      <c r="EG319" s="181">
        <f t="shared" si="711"/>
        <v>6000</v>
      </c>
      <c r="EH319" s="164">
        <v>6000</v>
      </c>
      <c r="EI319" s="164"/>
      <c r="EJ319" s="164"/>
      <c r="EK319" s="164">
        <f>EL319+EN319</f>
        <v>-6000</v>
      </c>
      <c r="EL319" s="164">
        <f>ET319-EH319</f>
        <v>-6000</v>
      </c>
      <c r="EM319" s="164"/>
      <c r="EN319" s="164"/>
      <c r="EO319" s="164">
        <f>EP319+ER319</f>
        <v>0</v>
      </c>
      <c r="EP319" s="164"/>
      <c r="EQ319" s="164"/>
      <c r="ER319" s="164"/>
      <c r="ES319" s="164">
        <f t="shared" si="712"/>
        <v>0</v>
      </c>
      <c r="ET319" s="164"/>
      <c r="EU319" s="164"/>
      <c r="EV319" s="164"/>
      <c r="EW319" s="164">
        <f t="shared" si="726"/>
        <v>6000</v>
      </c>
      <c r="EX319" s="164">
        <v>6000</v>
      </c>
      <c r="EY319" s="164"/>
      <c r="EZ319" s="181">
        <f t="shared" si="638"/>
        <v>27609.660080000001</v>
      </c>
      <c r="FA319" s="164">
        <f t="shared" ref="FA319:FA328" si="732">FD319-EX319</f>
        <v>27609.660080000001</v>
      </c>
      <c r="FB319" s="164"/>
      <c r="FC319" s="180">
        <f t="shared" si="656"/>
        <v>33609.660080000001</v>
      </c>
      <c r="FD319" s="163">
        <f>FD320+FD321</f>
        <v>33609.660080000001</v>
      </c>
      <c r="FE319" s="163"/>
      <c r="FF319" s="163"/>
      <c r="FG319" s="163">
        <f t="shared" si="727"/>
        <v>0</v>
      </c>
      <c r="FH319" s="163">
        <f t="shared" si="728"/>
        <v>0</v>
      </c>
      <c r="FI319" s="163"/>
      <c r="FJ319" s="163"/>
      <c r="FK319" s="163">
        <f>FL319+FN319</f>
        <v>0</v>
      </c>
      <c r="FL319" s="163"/>
      <c r="FM319" s="163"/>
      <c r="FN319" s="163"/>
      <c r="FO319" s="180">
        <f t="shared" si="713"/>
        <v>33609.660080000001</v>
      </c>
      <c r="FP319" s="163">
        <f t="shared" si="730"/>
        <v>33609.660080000001</v>
      </c>
      <c r="FQ319" s="163"/>
      <c r="FR319" s="163"/>
      <c r="FS319" s="163"/>
      <c r="FT319" s="577">
        <f t="shared" si="640"/>
        <v>0</v>
      </c>
      <c r="FU319" s="163"/>
      <c r="FV319" s="577">
        <f t="shared" si="641"/>
        <v>0</v>
      </c>
      <c r="FW319" s="164"/>
      <c r="FX319" s="577"/>
      <c r="FY319" s="164"/>
      <c r="FZ319" s="672"/>
      <c r="GA319" s="163"/>
      <c r="GB319" s="577"/>
      <c r="GC319" s="163"/>
      <c r="GD319" s="577"/>
      <c r="GE319" s="164"/>
      <c r="GF319" s="577"/>
      <c r="GG319" s="163"/>
      <c r="GH319" s="577"/>
      <c r="GI319" s="103">
        <f t="shared" si="703"/>
        <v>0</v>
      </c>
      <c r="GJ319" s="577">
        <f t="shared" si="658"/>
        <v>0</v>
      </c>
      <c r="GK319" s="163">
        <f>GK320+GK321</f>
        <v>0</v>
      </c>
      <c r="GL319" s="577">
        <f t="shared" si="659"/>
        <v>0</v>
      </c>
      <c r="GM319" s="163"/>
      <c r="GN319" s="577"/>
      <c r="GO319" s="163"/>
      <c r="GP319" s="577"/>
      <c r="GQ319" s="164"/>
      <c r="GR319" s="164"/>
      <c r="GS319" s="164"/>
      <c r="GT319" s="164"/>
      <c r="GU319" s="181">
        <f t="shared" si="714"/>
        <v>0</v>
      </c>
      <c r="GV319" s="164">
        <v>0</v>
      </c>
      <c r="GW319" s="164"/>
      <c r="GX319" s="164"/>
      <c r="GY319" s="164"/>
      <c r="GZ319" s="164"/>
      <c r="HA319" s="164"/>
      <c r="HB319" s="164"/>
      <c r="HC319" s="164"/>
      <c r="HD319" s="164"/>
      <c r="HE319" s="164"/>
      <c r="HF319" s="164"/>
      <c r="HG319" s="181">
        <f t="shared" si="715"/>
        <v>0</v>
      </c>
      <c r="HH319" s="164">
        <v>0</v>
      </c>
      <c r="HI319" s="164"/>
      <c r="HJ319" s="164"/>
      <c r="HK319" s="181">
        <f t="shared" si="716"/>
        <v>0</v>
      </c>
      <c r="HL319" s="164">
        <v>0</v>
      </c>
      <c r="HM319" s="164"/>
      <c r="HN319" s="164"/>
      <c r="HO319" s="181">
        <f t="shared" si="717"/>
        <v>0</v>
      </c>
      <c r="HP319" s="164">
        <v>0</v>
      </c>
      <c r="HQ319" s="164"/>
      <c r="HR319" s="164"/>
      <c r="HS319" s="181">
        <f t="shared" si="718"/>
        <v>0</v>
      </c>
      <c r="HT319" s="164">
        <v>0</v>
      </c>
      <c r="HU319" s="164"/>
      <c r="HV319" s="164"/>
      <c r="HW319" s="181">
        <f t="shared" si="719"/>
        <v>0</v>
      </c>
      <c r="HX319" s="164">
        <v>0</v>
      </c>
      <c r="HY319" s="164"/>
      <c r="HZ319" s="164"/>
      <c r="IA319" s="181">
        <f t="shared" si="720"/>
        <v>0</v>
      </c>
      <c r="IB319" s="164">
        <v>0</v>
      </c>
      <c r="IC319" s="164"/>
      <c r="ID319" s="164"/>
      <c r="IE319" s="321"/>
      <c r="IF319" s="170"/>
      <c r="IG319" s="170"/>
      <c r="IH319" s="170"/>
    </row>
    <row r="320" spans="2:242" s="327" customFormat="1" ht="40.5" hidden="1" customHeight="1" x14ac:dyDescent="0.25">
      <c r="B320" s="324"/>
      <c r="C320" s="164" t="s">
        <v>330</v>
      </c>
      <c r="D320" s="325"/>
      <c r="E320" s="164"/>
      <c r="F320" s="164"/>
      <c r="G320" s="164"/>
      <c r="H320" s="164"/>
      <c r="I320" s="259"/>
      <c r="J320" s="259"/>
      <c r="K320" s="164"/>
      <c r="L320" s="164"/>
      <c r="M320" s="164"/>
      <c r="N320" s="164"/>
      <c r="O320" s="259"/>
      <c r="P320" s="259"/>
      <c r="Q320" s="164"/>
      <c r="R320" s="164"/>
      <c r="S320" s="164"/>
      <c r="T320" s="164"/>
      <c r="U320" s="164"/>
      <c r="V320" s="164"/>
      <c r="W320" s="164"/>
      <c r="X320" s="259"/>
      <c r="Y320" s="259"/>
      <c r="Z320" s="164"/>
      <c r="AA320" s="164"/>
      <c r="AB320" s="164"/>
      <c r="AC320" s="164"/>
      <c r="AD320" s="164"/>
      <c r="AE320" s="164"/>
      <c r="AF320" s="164"/>
      <c r="AG320" s="164"/>
      <c r="AH320" s="164"/>
      <c r="AI320" s="164"/>
      <c r="AJ320" s="164"/>
      <c r="AK320" s="164"/>
      <c r="AL320" s="164"/>
      <c r="AM320" s="635"/>
      <c r="AN320" s="635"/>
      <c r="AO320" s="165"/>
      <c r="AP320" s="165"/>
      <c r="AQ320" s="165"/>
      <c r="AR320" s="165"/>
      <c r="AS320" s="164"/>
      <c r="AT320" s="164"/>
      <c r="AU320" s="164"/>
      <c r="AV320" s="164"/>
      <c r="AW320" s="259"/>
      <c r="AX320" s="259"/>
      <c r="AY320" s="164"/>
      <c r="AZ320" s="164"/>
      <c r="BA320" s="164"/>
      <c r="BB320" s="164"/>
      <c r="BC320" s="164"/>
      <c r="BD320" s="164"/>
      <c r="BE320" s="164"/>
      <c r="BF320" s="259"/>
      <c r="BG320" s="259"/>
      <c r="BH320" s="164"/>
      <c r="BI320" s="164"/>
      <c r="BJ320" s="164"/>
      <c r="BK320" s="165"/>
      <c r="BL320" s="164"/>
      <c r="BM320" s="164"/>
      <c r="BN320" s="164"/>
      <c r="BO320" s="164"/>
      <c r="BP320" s="164"/>
      <c r="BQ320" s="164"/>
      <c r="BR320" s="164"/>
      <c r="BS320" s="164"/>
      <c r="BT320" s="164"/>
      <c r="BU320" s="164"/>
      <c r="BV320" s="164"/>
      <c r="BW320" s="164"/>
      <c r="BX320" s="164"/>
      <c r="BY320" s="164"/>
      <c r="BZ320" s="259"/>
      <c r="CA320" s="259"/>
      <c r="CB320" s="164"/>
      <c r="CC320" s="164"/>
      <c r="CD320" s="164"/>
      <c r="CE320" s="165"/>
      <c r="CF320" s="164"/>
      <c r="CG320" s="164"/>
      <c r="CH320" s="164"/>
      <c r="CI320" s="164"/>
      <c r="CJ320" s="164"/>
      <c r="CK320" s="164"/>
      <c r="CL320" s="259"/>
      <c r="CM320" s="259"/>
      <c r="CN320" s="164"/>
      <c r="CO320" s="259"/>
      <c r="CP320" s="259"/>
      <c r="CQ320" s="164"/>
      <c r="CR320" s="164"/>
      <c r="CS320" s="164"/>
      <c r="CT320" s="164"/>
      <c r="CU320" s="164"/>
      <c r="CV320" s="164"/>
      <c r="CW320" s="164"/>
      <c r="CX320" s="164"/>
      <c r="CY320" s="164"/>
      <c r="CZ320" s="164"/>
      <c r="DA320" s="164"/>
      <c r="DB320" s="164"/>
      <c r="DC320" s="164"/>
      <c r="DD320" s="164"/>
      <c r="DE320" s="164"/>
      <c r="DF320" s="164"/>
      <c r="DG320" s="164"/>
      <c r="DH320" s="164"/>
      <c r="DI320" s="181"/>
      <c r="DJ320" s="164"/>
      <c r="DK320" s="164"/>
      <c r="DL320" s="164"/>
      <c r="DM320" s="164"/>
      <c r="DN320" s="164"/>
      <c r="DO320" s="164"/>
      <c r="DP320" s="164"/>
      <c r="DQ320" s="164"/>
      <c r="DR320" s="164"/>
      <c r="DS320" s="164"/>
      <c r="DT320" s="164"/>
      <c r="DU320" s="164"/>
      <c r="DV320" s="164"/>
      <c r="DW320" s="164"/>
      <c r="DX320" s="164"/>
      <c r="DY320" s="164"/>
      <c r="DZ320" s="164"/>
      <c r="EA320" s="164"/>
      <c r="EB320" s="164"/>
      <c r="EC320" s="164"/>
      <c r="ED320" s="181"/>
      <c r="EE320" s="164"/>
      <c r="EF320" s="164"/>
      <c r="EG320" s="181"/>
      <c r="EH320" s="164"/>
      <c r="EI320" s="164"/>
      <c r="EJ320" s="164"/>
      <c r="EK320" s="164"/>
      <c r="EL320" s="164"/>
      <c r="EM320" s="164"/>
      <c r="EN320" s="164"/>
      <c r="EO320" s="164"/>
      <c r="EP320" s="164"/>
      <c r="EQ320" s="164"/>
      <c r="ER320" s="164"/>
      <c r="ES320" s="164"/>
      <c r="ET320" s="164"/>
      <c r="EU320" s="164"/>
      <c r="EV320" s="164"/>
      <c r="EW320" s="164"/>
      <c r="EX320" s="164"/>
      <c r="EY320" s="164"/>
      <c r="EZ320" s="181"/>
      <c r="FA320" s="164"/>
      <c r="FB320" s="164"/>
      <c r="FC320" s="180">
        <f>FD320</f>
        <v>31415.20306</v>
      </c>
      <c r="FD320" s="163">
        <v>31415.20306</v>
      </c>
      <c r="FE320" s="163"/>
      <c r="FF320" s="163"/>
      <c r="FG320" s="163"/>
      <c r="FH320" s="163"/>
      <c r="FI320" s="163"/>
      <c r="FJ320" s="163"/>
      <c r="FK320" s="163"/>
      <c r="FL320" s="163"/>
      <c r="FM320" s="163"/>
      <c r="FN320" s="163"/>
      <c r="FO320" s="180"/>
      <c r="FP320" s="163"/>
      <c r="FQ320" s="163"/>
      <c r="FR320" s="163"/>
      <c r="FS320" s="163"/>
      <c r="FT320" s="577">
        <f t="shared" si="640"/>
        <v>0</v>
      </c>
      <c r="FU320" s="163"/>
      <c r="FV320" s="577">
        <f t="shared" si="641"/>
        <v>0</v>
      </c>
      <c r="FW320" s="164"/>
      <c r="FX320" s="577"/>
      <c r="FY320" s="164"/>
      <c r="FZ320" s="672"/>
      <c r="GA320" s="163"/>
      <c r="GB320" s="577"/>
      <c r="GC320" s="163"/>
      <c r="GD320" s="577"/>
      <c r="GE320" s="164"/>
      <c r="GF320" s="577"/>
      <c r="GG320" s="163"/>
      <c r="GH320" s="577"/>
      <c r="GI320" s="103">
        <f t="shared" si="703"/>
        <v>0</v>
      </c>
      <c r="GJ320" s="577">
        <f t="shared" si="658"/>
        <v>0</v>
      </c>
      <c r="GK320" s="163">
        <v>0</v>
      </c>
      <c r="GL320" s="577">
        <f t="shared" si="659"/>
        <v>0</v>
      </c>
      <c r="GM320" s="163"/>
      <c r="GN320" s="577"/>
      <c r="GO320" s="163"/>
      <c r="GP320" s="577"/>
      <c r="GQ320" s="164"/>
      <c r="GR320" s="164"/>
      <c r="GS320" s="164"/>
      <c r="GT320" s="164"/>
      <c r="GU320" s="181"/>
      <c r="GV320" s="164"/>
      <c r="GW320" s="164"/>
      <c r="GX320" s="164"/>
      <c r="GY320" s="164"/>
      <c r="GZ320" s="164"/>
      <c r="HA320" s="164"/>
      <c r="HB320" s="164"/>
      <c r="HC320" s="164"/>
      <c r="HD320" s="164"/>
      <c r="HE320" s="164"/>
      <c r="HF320" s="164"/>
      <c r="HG320" s="181"/>
      <c r="HH320" s="164"/>
      <c r="HI320" s="164"/>
      <c r="HJ320" s="164"/>
      <c r="HK320" s="181"/>
      <c r="HL320" s="164"/>
      <c r="HM320" s="164"/>
      <c r="HN320" s="164"/>
      <c r="HO320" s="181"/>
      <c r="HP320" s="164"/>
      <c r="HQ320" s="164"/>
      <c r="HR320" s="164"/>
      <c r="HS320" s="181"/>
      <c r="HT320" s="164"/>
      <c r="HU320" s="164"/>
      <c r="HV320" s="164"/>
      <c r="HW320" s="181"/>
      <c r="HX320" s="164"/>
      <c r="HY320" s="164"/>
      <c r="HZ320" s="164"/>
      <c r="IA320" s="181"/>
      <c r="IB320" s="164"/>
      <c r="IC320" s="164"/>
      <c r="ID320" s="164"/>
      <c r="IE320" s="321"/>
      <c r="IF320" s="170"/>
      <c r="IG320" s="170"/>
      <c r="IH320" s="170"/>
    </row>
    <row r="321" spans="2:249" s="327" customFormat="1" ht="40.5" hidden="1" customHeight="1" x14ac:dyDescent="0.25">
      <c r="B321" s="324"/>
      <c r="C321" s="164" t="s">
        <v>172</v>
      </c>
      <c r="D321" s="325"/>
      <c r="E321" s="164"/>
      <c r="F321" s="164"/>
      <c r="G321" s="164"/>
      <c r="H321" s="164"/>
      <c r="I321" s="259"/>
      <c r="J321" s="259"/>
      <c r="K321" s="164"/>
      <c r="L321" s="164"/>
      <c r="M321" s="164"/>
      <c r="N321" s="164"/>
      <c r="O321" s="259"/>
      <c r="P321" s="259"/>
      <c r="Q321" s="164"/>
      <c r="R321" s="164"/>
      <c r="S321" s="164"/>
      <c r="T321" s="164"/>
      <c r="U321" s="164"/>
      <c r="V321" s="164"/>
      <c r="W321" s="164"/>
      <c r="X321" s="259"/>
      <c r="Y321" s="259"/>
      <c r="Z321" s="164"/>
      <c r="AA321" s="164"/>
      <c r="AB321" s="164"/>
      <c r="AC321" s="164"/>
      <c r="AD321" s="164"/>
      <c r="AE321" s="164"/>
      <c r="AF321" s="164"/>
      <c r="AG321" s="164"/>
      <c r="AH321" s="164"/>
      <c r="AI321" s="164"/>
      <c r="AJ321" s="164"/>
      <c r="AK321" s="164"/>
      <c r="AL321" s="164"/>
      <c r="AM321" s="635"/>
      <c r="AN321" s="635"/>
      <c r="AO321" s="165"/>
      <c r="AP321" s="165"/>
      <c r="AQ321" s="165"/>
      <c r="AR321" s="165"/>
      <c r="AS321" s="164"/>
      <c r="AT321" s="164"/>
      <c r="AU321" s="164"/>
      <c r="AV321" s="164"/>
      <c r="AW321" s="259"/>
      <c r="AX321" s="259"/>
      <c r="AY321" s="164"/>
      <c r="AZ321" s="164"/>
      <c r="BA321" s="164"/>
      <c r="BB321" s="164"/>
      <c r="BC321" s="164"/>
      <c r="BD321" s="164"/>
      <c r="BE321" s="164"/>
      <c r="BF321" s="259"/>
      <c r="BG321" s="259"/>
      <c r="BH321" s="164"/>
      <c r="BI321" s="164"/>
      <c r="BJ321" s="164"/>
      <c r="BK321" s="165"/>
      <c r="BL321" s="164"/>
      <c r="BM321" s="164"/>
      <c r="BN321" s="164"/>
      <c r="BO321" s="164"/>
      <c r="BP321" s="164"/>
      <c r="BQ321" s="164"/>
      <c r="BR321" s="164"/>
      <c r="BS321" s="164"/>
      <c r="BT321" s="164"/>
      <c r="BU321" s="164"/>
      <c r="BV321" s="164"/>
      <c r="BW321" s="164"/>
      <c r="BX321" s="164"/>
      <c r="BY321" s="164"/>
      <c r="BZ321" s="259"/>
      <c r="CA321" s="259"/>
      <c r="CB321" s="164"/>
      <c r="CC321" s="164"/>
      <c r="CD321" s="164"/>
      <c r="CE321" s="165"/>
      <c r="CF321" s="164"/>
      <c r="CG321" s="164"/>
      <c r="CH321" s="164"/>
      <c r="CI321" s="164"/>
      <c r="CJ321" s="164"/>
      <c r="CK321" s="164"/>
      <c r="CL321" s="259"/>
      <c r="CM321" s="259"/>
      <c r="CN321" s="164"/>
      <c r="CO321" s="259"/>
      <c r="CP321" s="259"/>
      <c r="CQ321" s="164"/>
      <c r="CR321" s="164"/>
      <c r="CS321" s="164"/>
      <c r="CT321" s="164"/>
      <c r="CU321" s="164"/>
      <c r="CV321" s="164"/>
      <c r="CW321" s="164"/>
      <c r="CX321" s="164"/>
      <c r="CY321" s="164"/>
      <c r="CZ321" s="164"/>
      <c r="DA321" s="164"/>
      <c r="DB321" s="164"/>
      <c r="DC321" s="164"/>
      <c r="DD321" s="164"/>
      <c r="DE321" s="164"/>
      <c r="DF321" s="164"/>
      <c r="DG321" s="164"/>
      <c r="DH321" s="164"/>
      <c r="DI321" s="181"/>
      <c r="DJ321" s="164"/>
      <c r="DK321" s="164"/>
      <c r="DL321" s="164"/>
      <c r="DM321" s="164"/>
      <c r="DN321" s="164"/>
      <c r="DO321" s="164"/>
      <c r="DP321" s="164"/>
      <c r="DQ321" s="164"/>
      <c r="DR321" s="164"/>
      <c r="DS321" s="164"/>
      <c r="DT321" s="164"/>
      <c r="DU321" s="164"/>
      <c r="DV321" s="164"/>
      <c r="DW321" s="164"/>
      <c r="DX321" s="164"/>
      <c r="DY321" s="164"/>
      <c r="DZ321" s="164"/>
      <c r="EA321" s="164"/>
      <c r="EB321" s="164"/>
      <c r="EC321" s="164"/>
      <c r="ED321" s="181"/>
      <c r="EE321" s="164"/>
      <c r="EF321" s="164"/>
      <c r="EG321" s="181"/>
      <c r="EH321" s="164"/>
      <c r="EI321" s="164"/>
      <c r="EJ321" s="164"/>
      <c r="EK321" s="164"/>
      <c r="EL321" s="164"/>
      <c r="EM321" s="164"/>
      <c r="EN321" s="164"/>
      <c r="EO321" s="164"/>
      <c r="EP321" s="164"/>
      <c r="EQ321" s="164"/>
      <c r="ER321" s="164"/>
      <c r="ES321" s="164"/>
      <c r="ET321" s="164"/>
      <c r="EU321" s="164"/>
      <c r="EV321" s="164"/>
      <c r="EW321" s="164"/>
      <c r="EX321" s="164"/>
      <c r="EY321" s="164"/>
      <c r="EZ321" s="181"/>
      <c r="FA321" s="164"/>
      <c r="FB321" s="164"/>
      <c r="FC321" s="180">
        <f>FD321</f>
        <v>2194.4570199999998</v>
      </c>
      <c r="FD321" s="163">
        <v>2194.4570199999998</v>
      </c>
      <c r="FE321" s="163"/>
      <c r="FF321" s="163"/>
      <c r="FG321" s="163"/>
      <c r="FH321" s="163"/>
      <c r="FI321" s="163"/>
      <c r="FJ321" s="163"/>
      <c r="FK321" s="163"/>
      <c r="FL321" s="163"/>
      <c r="FM321" s="163"/>
      <c r="FN321" s="163"/>
      <c r="FO321" s="180"/>
      <c r="FP321" s="163"/>
      <c r="FQ321" s="163"/>
      <c r="FR321" s="163"/>
      <c r="FS321" s="163"/>
      <c r="FT321" s="577">
        <f t="shared" si="640"/>
        <v>0</v>
      </c>
      <c r="FU321" s="163"/>
      <c r="FV321" s="577">
        <f t="shared" si="641"/>
        <v>0</v>
      </c>
      <c r="FW321" s="164"/>
      <c r="FX321" s="577"/>
      <c r="FY321" s="164"/>
      <c r="FZ321" s="672"/>
      <c r="GA321" s="163"/>
      <c r="GB321" s="577"/>
      <c r="GC321" s="163"/>
      <c r="GD321" s="577"/>
      <c r="GE321" s="164"/>
      <c r="GF321" s="577"/>
      <c r="GG321" s="163"/>
      <c r="GH321" s="577"/>
      <c r="GI321" s="103">
        <f t="shared" si="703"/>
        <v>0</v>
      </c>
      <c r="GJ321" s="577">
        <f t="shared" si="658"/>
        <v>0</v>
      </c>
      <c r="GK321" s="163">
        <v>0</v>
      </c>
      <c r="GL321" s="577">
        <f t="shared" si="659"/>
        <v>0</v>
      </c>
      <c r="GM321" s="163"/>
      <c r="GN321" s="577"/>
      <c r="GO321" s="163"/>
      <c r="GP321" s="577"/>
      <c r="GQ321" s="164"/>
      <c r="GR321" s="164"/>
      <c r="GS321" s="164"/>
      <c r="GT321" s="164"/>
      <c r="GU321" s="181"/>
      <c r="GV321" s="164"/>
      <c r="GW321" s="164"/>
      <c r="GX321" s="164"/>
      <c r="GY321" s="164"/>
      <c r="GZ321" s="164"/>
      <c r="HA321" s="164"/>
      <c r="HB321" s="164"/>
      <c r="HC321" s="164"/>
      <c r="HD321" s="164"/>
      <c r="HE321" s="164"/>
      <c r="HF321" s="164"/>
      <c r="HG321" s="181"/>
      <c r="HH321" s="164"/>
      <c r="HI321" s="164"/>
      <c r="HJ321" s="164"/>
      <c r="HK321" s="181"/>
      <c r="HL321" s="164"/>
      <c r="HM321" s="164"/>
      <c r="HN321" s="164"/>
      <c r="HO321" s="181"/>
      <c r="HP321" s="164"/>
      <c r="HQ321" s="164"/>
      <c r="HR321" s="164"/>
      <c r="HS321" s="181"/>
      <c r="HT321" s="164"/>
      <c r="HU321" s="164"/>
      <c r="HV321" s="164"/>
      <c r="HW321" s="181"/>
      <c r="HX321" s="164"/>
      <c r="HY321" s="164"/>
      <c r="HZ321" s="164"/>
      <c r="IA321" s="181"/>
      <c r="IB321" s="164"/>
      <c r="IC321" s="164"/>
      <c r="ID321" s="164"/>
      <c r="IE321" s="321"/>
      <c r="IF321" s="170"/>
      <c r="IG321" s="170"/>
      <c r="IH321" s="170"/>
    </row>
    <row r="322" spans="2:249" s="327" customFormat="1" ht="130.5" hidden="1" customHeight="1" x14ac:dyDescent="0.25">
      <c r="B322" s="324"/>
      <c r="C322" s="266"/>
      <c r="D322" s="325"/>
      <c r="E322" s="164"/>
      <c r="F322" s="164"/>
      <c r="G322" s="164"/>
      <c r="H322" s="164"/>
      <c r="I322" s="259"/>
      <c r="J322" s="259"/>
      <c r="K322" s="164"/>
      <c r="L322" s="164"/>
      <c r="M322" s="164"/>
      <c r="N322" s="164"/>
      <c r="O322" s="259"/>
      <c r="P322" s="259"/>
      <c r="Q322" s="164"/>
      <c r="R322" s="164"/>
      <c r="S322" s="164"/>
      <c r="T322" s="164"/>
      <c r="U322" s="164"/>
      <c r="V322" s="164"/>
      <c r="W322" s="164"/>
      <c r="X322" s="259"/>
      <c r="Y322" s="259"/>
      <c r="Z322" s="164"/>
      <c r="AA322" s="164"/>
      <c r="AB322" s="164"/>
      <c r="AC322" s="164"/>
      <c r="AD322" s="164"/>
      <c r="AE322" s="164"/>
      <c r="AF322" s="164"/>
      <c r="AG322" s="164"/>
      <c r="AH322" s="164"/>
      <c r="AI322" s="164"/>
      <c r="AJ322" s="164"/>
      <c r="AK322" s="164"/>
      <c r="AL322" s="164"/>
      <c r="AM322" s="175"/>
      <c r="AN322" s="175"/>
      <c r="AO322" s="165"/>
      <c r="AP322" s="165"/>
      <c r="AQ322" s="165"/>
      <c r="AR322" s="165"/>
      <c r="AS322" s="164"/>
      <c r="AT322" s="164"/>
      <c r="AU322" s="164"/>
      <c r="AV322" s="164"/>
      <c r="AW322" s="259"/>
      <c r="AX322" s="259"/>
      <c r="AY322" s="164"/>
      <c r="AZ322" s="164"/>
      <c r="BA322" s="164"/>
      <c r="BB322" s="164"/>
      <c r="BC322" s="164"/>
      <c r="BD322" s="164"/>
      <c r="BE322" s="164"/>
      <c r="BF322" s="259"/>
      <c r="BG322" s="259"/>
      <c r="BH322" s="164"/>
      <c r="BI322" s="164"/>
      <c r="BJ322" s="164"/>
      <c r="BK322" s="165"/>
      <c r="BL322" s="164"/>
      <c r="BM322" s="164"/>
      <c r="BN322" s="164"/>
      <c r="BO322" s="164"/>
      <c r="BP322" s="164"/>
      <c r="BQ322" s="164"/>
      <c r="BR322" s="164"/>
      <c r="BS322" s="164"/>
      <c r="BT322" s="164"/>
      <c r="BU322" s="164"/>
      <c r="BV322" s="164"/>
      <c r="BW322" s="164"/>
      <c r="BX322" s="164"/>
      <c r="BY322" s="164"/>
      <c r="BZ322" s="259"/>
      <c r="CA322" s="259"/>
      <c r="CB322" s="164"/>
      <c r="CC322" s="164"/>
      <c r="CD322" s="164"/>
      <c r="CE322" s="165"/>
      <c r="CF322" s="164"/>
      <c r="CG322" s="164"/>
      <c r="CH322" s="164"/>
      <c r="CI322" s="164"/>
      <c r="CJ322" s="164"/>
      <c r="CK322" s="164"/>
      <c r="CL322" s="259"/>
      <c r="CM322" s="259"/>
      <c r="CN322" s="164"/>
      <c r="CO322" s="259"/>
      <c r="CP322" s="259"/>
      <c r="CQ322" s="164"/>
      <c r="CR322" s="164"/>
      <c r="CS322" s="164"/>
      <c r="CT322" s="164"/>
      <c r="CU322" s="164"/>
      <c r="CV322" s="164"/>
      <c r="CW322" s="164"/>
      <c r="CX322" s="164"/>
      <c r="CY322" s="164"/>
      <c r="CZ322" s="164"/>
      <c r="DA322" s="164"/>
      <c r="DB322" s="164"/>
      <c r="DC322" s="164"/>
      <c r="DD322" s="164"/>
      <c r="DE322" s="164"/>
      <c r="DF322" s="164"/>
      <c r="DG322" s="164"/>
      <c r="DH322" s="164"/>
      <c r="DI322" s="181"/>
      <c r="DJ322" s="164"/>
      <c r="DK322" s="164"/>
      <c r="DL322" s="164"/>
      <c r="DM322" s="164"/>
      <c r="DN322" s="164"/>
      <c r="DO322" s="164"/>
      <c r="DP322" s="164"/>
      <c r="DQ322" s="164"/>
      <c r="DR322" s="164"/>
      <c r="DS322" s="164"/>
      <c r="DT322" s="164"/>
      <c r="DU322" s="164"/>
      <c r="DV322" s="164"/>
      <c r="DW322" s="164"/>
      <c r="DX322" s="164"/>
      <c r="DY322" s="164"/>
      <c r="DZ322" s="164"/>
      <c r="EA322" s="164"/>
      <c r="EB322" s="164"/>
      <c r="EC322" s="164"/>
      <c r="ED322" s="181"/>
      <c r="EE322" s="164"/>
      <c r="EF322" s="164"/>
      <c r="EG322" s="181"/>
      <c r="EH322" s="164"/>
      <c r="EI322" s="164"/>
      <c r="EJ322" s="164"/>
      <c r="EK322" s="164"/>
      <c r="EL322" s="164"/>
      <c r="EM322" s="164"/>
      <c r="EN322" s="164"/>
      <c r="EO322" s="164"/>
      <c r="EP322" s="164"/>
      <c r="EQ322" s="164"/>
      <c r="ER322" s="164"/>
      <c r="ES322" s="164"/>
      <c r="ET322" s="164"/>
      <c r="EU322" s="164"/>
      <c r="EV322" s="164"/>
      <c r="EW322" s="164"/>
      <c r="EX322" s="164"/>
      <c r="EY322" s="164"/>
      <c r="EZ322" s="181"/>
      <c r="FA322" s="164"/>
      <c r="FB322" s="164"/>
      <c r="FC322" s="180"/>
      <c r="FD322" s="163"/>
      <c r="FE322" s="163"/>
      <c r="FF322" s="163"/>
      <c r="FG322" s="163">
        <f t="shared" si="727"/>
        <v>0</v>
      </c>
      <c r="FH322" s="163">
        <f t="shared" si="728"/>
        <v>0</v>
      </c>
      <c r="FI322" s="163"/>
      <c r="FJ322" s="163"/>
      <c r="FK322" s="163">
        <f>FL322+FN322</f>
        <v>0</v>
      </c>
      <c r="FL322" s="163"/>
      <c r="FM322" s="163"/>
      <c r="FN322" s="163"/>
      <c r="FO322" s="180">
        <f t="shared" si="713"/>
        <v>0</v>
      </c>
      <c r="FP322" s="163">
        <f t="shared" si="730"/>
        <v>0</v>
      </c>
      <c r="FQ322" s="163"/>
      <c r="FR322" s="163"/>
      <c r="FS322" s="163"/>
      <c r="FT322" s="577" t="e">
        <f t="shared" si="640"/>
        <v>#DIV/0!</v>
      </c>
      <c r="FU322" s="163"/>
      <c r="FV322" s="577" t="e">
        <f t="shared" si="641"/>
        <v>#DIV/0!</v>
      </c>
      <c r="FW322" s="164"/>
      <c r="FX322" s="577"/>
      <c r="FY322" s="164"/>
      <c r="FZ322" s="672"/>
      <c r="GA322" s="163"/>
      <c r="GB322" s="577"/>
      <c r="GC322" s="163"/>
      <c r="GD322" s="577"/>
      <c r="GE322" s="164"/>
      <c r="GF322" s="577"/>
      <c r="GG322" s="163"/>
      <c r="GH322" s="577"/>
      <c r="GI322" s="103">
        <f t="shared" si="703"/>
        <v>0</v>
      </c>
      <c r="GJ322" s="577" t="e">
        <f t="shared" si="658"/>
        <v>#DIV/0!</v>
      </c>
      <c r="GK322" s="163"/>
      <c r="GL322" s="577" t="e">
        <f t="shared" si="659"/>
        <v>#DIV/0!</v>
      </c>
      <c r="GM322" s="163"/>
      <c r="GN322" s="577"/>
      <c r="GO322" s="163"/>
      <c r="GP322" s="577"/>
      <c r="GQ322" s="164"/>
      <c r="GR322" s="164"/>
      <c r="GS322" s="164"/>
      <c r="GT322" s="164"/>
      <c r="GU322" s="181">
        <f t="shared" si="714"/>
        <v>0</v>
      </c>
      <c r="GV322" s="164">
        <v>0</v>
      </c>
      <c r="GW322" s="164"/>
      <c r="GX322" s="164"/>
      <c r="GY322" s="164"/>
      <c r="GZ322" s="164"/>
      <c r="HA322" s="164"/>
      <c r="HB322" s="164"/>
      <c r="HC322" s="164"/>
      <c r="HD322" s="164"/>
      <c r="HE322" s="164"/>
      <c r="HF322" s="164"/>
      <c r="HG322" s="181">
        <f t="shared" si="715"/>
        <v>0</v>
      </c>
      <c r="HH322" s="164">
        <v>0</v>
      </c>
      <c r="HI322" s="164"/>
      <c r="HJ322" s="164"/>
      <c r="HK322" s="181">
        <f t="shared" si="716"/>
        <v>0</v>
      </c>
      <c r="HL322" s="164">
        <v>0</v>
      </c>
      <c r="HM322" s="164"/>
      <c r="HN322" s="164"/>
      <c r="HO322" s="181">
        <f t="shared" si="717"/>
        <v>0</v>
      </c>
      <c r="HP322" s="164">
        <v>0</v>
      </c>
      <c r="HQ322" s="164"/>
      <c r="HR322" s="164"/>
      <c r="HS322" s="181">
        <f t="shared" si="718"/>
        <v>0</v>
      </c>
      <c r="HT322" s="164">
        <v>0</v>
      </c>
      <c r="HU322" s="164"/>
      <c r="HV322" s="164"/>
      <c r="HW322" s="181">
        <f t="shared" si="719"/>
        <v>0</v>
      </c>
      <c r="HX322" s="164">
        <v>0</v>
      </c>
      <c r="HY322" s="164"/>
      <c r="HZ322" s="164"/>
      <c r="IA322" s="181">
        <f t="shared" si="720"/>
        <v>0</v>
      </c>
      <c r="IB322" s="164">
        <v>0</v>
      </c>
      <c r="IC322" s="164"/>
      <c r="ID322" s="164"/>
      <c r="IE322" s="321"/>
      <c r="IF322" s="170"/>
      <c r="IG322" s="170"/>
      <c r="IH322" s="170"/>
    </row>
    <row r="323" spans="2:249" s="327" customFormat="1" ht="31.5" hidden="1" customHeight="1" x14ac:dyDescent="0.25">
      <c r="B323" s="643"/>
      <c r="C323" s="266" t="s">
        <v>408</v>
      </c>
      <c r="D323" s="644"/>
      <c r="E323" s="164"/>
      <c r="F323" s="164"/>
      <c r="G323" s="164"/>
      <c r="H323" s="164"/>
      <c r="I323" s="259"/>
      <c r="J323" s="259"/>
      <c r="K323" s="164"/>
      <c r="L323" s="164"/>
      <c r="M323" s="164"/>
      <c r="N323" s="164"/>
      <c r="O323" s="259"/>
      <c r="P323" s="259"/>
      <c r="Q323" s="164"/>
      <c r="R323" s="164"/>
      <c r="S323" s="164"/>
      <c r="T323" s="164"/>
      <c r="U323" s="164"/>
      <c r="V323" s="164"/>
      <c r="W323" s="164"/>
      <c r="X323" s="259"/>
      <c r="Y323" s="259"/>
      <c r="Z323" s="164"/>
      <c r="AA323" s="164"/>
      <c r="AB323" s="164"/>
      <c r="AC323" s="164"/>
      <c r="AD323" s="164"/>
      <c r="AE323" s="164"/>
      <c r="AF323" s="164"/>
      <c r="AG323" s="164"/>
      <c r="AH323" s="164"/>
      <c r="AI323" s="164"/>
      <c r="AJ323" s="164"/>
      <c r="AK323" s="164"/>
      <c r="AL323" s="164"/>
      <c r="AM323" s="642"/>
      <c r="AN323" s="642"/>
      <c r="AO323" s="165"/>
      <c r="AP323" s="165"/>
      <c r="AQ323" s="165"/>
      <c r="AR323" s="165"/>
      <c r="AS323" s="164"/>
      <c r="AT323" s="164"/>
      <c r="AU323" s="164"/>
      <c r="AV323" s="164"/>
      <c r="AW323" s="259"/>
      <c r="AX323" s="259"/>
      <c r="AY323" s="164"/>
      <c r="AZ323" s="164"/>
      <c r="BA323" s="164"/>
      <c r="BB323" s="164"/>
      <c r="BC323" s="164"/>
      <c r="BD323" s="164"/>
      <c r="BE323" s="164"/>
      <c r="BF323" s="259"/>
      <c r="BG323" s="259"/>
      <c r="BH323" s="164"/>
      <c r="BI323" s="164"/>
      <c r="BJ323" s="164"/>
      <c r="BK323" s="165"/>
      <c r="BL323" s="164"/>
      <c r="BM323" s="164"/>
      <c r="BN323" s="164"/>
      <c r="BO323" s="164"/>
      <c r="BP323" s="164"/>
      <c r="BQ323" s="164"/>
      <c r="BR323" s="164"/>
      <c r="BS323" s="164"/>
      <c r="BT323" s="164"/>
      <c r="BU323" s="164"/>
      <c r="BV323" s="164"/>
      <c r="BW323" s="164"/>
      <c r="BX323" s="164"/>
      <c r="BY323" s="164"/>
      <c r="BZ323" s="259"/>
      <c r="CA323" s="259"/>
      <c r="CB323" s="164"/>
      <c r="CC323" s="164"/>
      <c r="CD323" s="164"/>
      <c r="CE323" s="165"/>
      <c r="CF323" s="164"/>
      <c r="CG323" s="164"/>
      <c r="CH323" s="164"/>
      <c r="CI323" s="164"/>
      <c r="CJ323" s="164"/>
      <c r="CK323" s="164"/>
      <c r="CL323" s="259"/>
      <c r="CM323" s="259"/>
      <c r="CN323" s="164"/>
      <c r="CO323" s="259"/>
      <c r="CP323" s="259"/>
      <c r="CQ323" s="164"/>
      <c r="CR323" s="164"/>
      <c r="CS323" s="164"/>
      <c r="CT323" s="164"/>
      <c r="CU323" s="164"/>
      <c r="CV323" s="164"/>
      <c r="CW323" s="164" t="e">
        <f>CX323+#REF!</f>
        <v>#REF!</v>
      </c>
      <c r="CX323" s="164">
        <f>26775.29095+27165</f>
        <v>53940.290949999995</v>
      </c>
      <c r="CY323" s="164"/>
      <c r="CZ323" s="164"/>
      <c r="DA323" s="164"/>
      <c r="DB323" s="164"/>
      <c r="DC323" s="164"/>
      <c r="DD323" s="164"/>
      <c r="DE323" s="164"/>
      <c r="DF323" s="164">
        <f t="shared" si="701"/>
        <v>-27165</v>
      </c>
      <c r="DG323" s="164">
        <f t="shared" si="709"/>
        <v>-27165</v>
      </c>
      <c r="DH323" s="164"/>
      <c r="DI323" s="164">
        <f t="shared" si="637"/>
        <v>26775.290949999995</v>
      </c>
      <c r="DJ323" s="164">
        <f>CX323-27165</f>
        <v>26775.290949999995</v>
      </c>
      <c r="DK323" s="164"/>
      <c r="DL323" s="164" t="e">
        <f>DM323+#REF!</f>
        <v>#REF!</v>
      </c>
      <c r="DM323" s="164">
        <v>0</v>
      </c>
      <c r="DN323" s="164"/>
      <c r="DO323" s="164" t="e">
        <f>DP323+#REF!</f>
        <v>#REF!</v>
      </c>
      <c r="DP323" s="164">
        <v>0</v>
      </c>
      <c r="DQ323" s="164"/>
      <c r="DR323" s="164" t="e">
        <f>DS323+#REF!</f>
        <v>#REF!</v>
      </c>
      <c r="DS323" s="164">
        <f t="shared" si="710"/>
        <v>26775.290949999995</v>
      </c>
      <c r="DT323" s="164"/>
      <c r="DU323" s="164">
        <f t="shared" si="725"/>
        <v>11800</v>
      </c>
      <c r="DV323" s="164">
        <v>11800</v>
      </c>
      <c r="DW323" s="164"/>
      <c r="DX323" s="164"/>
      <c r="DY323" s="164"/>
      <c r="DZ323" s="164"/>
      <c r="EA323" s="164"/>
      <c r="EB323" s="164"/>
      <c r="EC323" s="164"/>
      <c r="ED323" s="164">
        <f t="shared" si="729"/>
        <v>11000</v>
      </c>
      <c r="EE323" s="164">
        <f t="shared" si="731"/>
        <v>11000</v>
      </c>
      <c r="EF323" s="164"/>
      <c r="EG323" s="164">
        <f t="shared" si="711"/>
        <v>22800</v>
      </c>
      <c r="EH323" s="164">
        <v>22800</v>
      </c>
      <c r="EI323" s="164"/>
      <c r="EJ323" s="164"/>
      <c r="EK323" s="164"/>
      <c r="EL323" s="164"/>
      <c r="EM323" s="164"/>
      <c r="EN323" s="164"/>
      <c r="EO323" s="164"/>
      <c r="EP323" s="164"/>
      <c r="EQ323" s="164"/>
      <c r="ER323" s="164"/>
      <c r="ES323" s="164">
        <f t="shared" si="712"/>
        <v>0</v>
      </c>
      <c r="ET323" s="164"/>
      <c r="EU323" s="164"/>
      <c r="EV323" s="164"/>
      <c r="EW323" s="164">
        <f t="shared" si="726"/>
        <v>22800</v>
      </c>
      <c r="EX323" s="164">
        <v>22800</v>
      </c>
      <c r="EY323" s="164"/>
      <c r="EZ323" s="164">
        <f t="shared" si="638"/>
        <v>3143.574819999998</v>
      </c>
      <c r="FA323" s="164">
        <f t="shared" si="732"/>
        <v>3143.574819999998</v>
      </c>
      <c r="FB323" s="164"/>
      <c r="FC323" s="163">
        <f t="shared" si="656"/>
        <v>25943.574819999998</v>
      </c>
      <c r="FD323" s="163">
        <f>FD324+FD325</f>
        <v>25943.574819999998</v>
      </c>
      <c r="FE323" s="163"/>
      <c r="FF323" s="163"/>
      <c r="FG323" s="163">
        <f t="shared" si="727"/>
        <v>0</v>
      </c>
      <c r="FH323" s="163">
        <f t="shared" si="728"/>
        <v>0</v>
      </c>
      <c r="FI323" s="163"/>
      <c r="FJ323" s="163"/>
      <c r="FK323" s="163"/>
      <c r="FL323" s="163"/>
      <c r="FM323" s="163"/>
      <c r="FN323" s="163"/>
      <c r="FO323" s="163">
        <f t="shared" si="713"/>
        <v>25943.574819999998</v>
      </c>
      <c r="FP323" s="163">
        <f t="shared" si="730"/>
        <v>25943.574819999998</v>
      </c>
      <c r="FQ323" s="163"/>
      <c r="FR323" s="163"/>
      <c r="FS323" s="163">
        <f>FU323</f>
        <v>1237.9052999999999</v>
      </c>
      <c r="FT323" s="575">
        <f t="shared" si="640"/>
        <v>4.7715294002031443E-2</v>
      </c>
      <c r="FU323" s="163">
        <f>FU324+FU325</f>
        <v>1237.9052999999999</v>
      </c>
      <c r="FV323" s="575">
        <f t="shared" si="641"/>
        <v>4.7715294002031443E-2</v>
      </c>
      <c r="FW323" s="164"/>
      <c r="FX323" s="575"/>
      <c r="FY323" s="164"/>
      <c r="FZ323" s="668"/>
      <c r="GA323" s="163">
        <f>GC323</f>
        <v>1237.9052999999999</v>
      </c>
      <c r="GB323" s="575">
        <f>GA323/FC323</f>
        <v>4.7715294002031443E-2</v>
      </c>
      <c r="GC323" s="163">
        <f>GC324+GC325</f>
        <v>1237.9052999999999</v>
      </c>
      <c r="GD323" s="575">
        <f>GC323/FD323</f>
        <v>4.7715294002031443E-2</v>
      </c>
      <c r="GE323" s="164"/>
      <c r="GF323" s="575"/>
      <c r="GG323" s="163"/>
      <c r="GH323" s="575"/>
      <c r="GI323" s="103">
        <f t="shared" si="703"/>
        <v>25943.574819999998</v>
      </c>
      <c r="GJ323" s="575">
        <f>GI323/FC323</f>
        <v>1</v>
      </c>
      <c r="GK323" s="163">
        <f>GK324+GK325</f>
        <v>25943.574819999998</v>
      </c>
      <c r="GL323" s="575">
        <f>GK323/FD323</f>
        <v>1</v>
      </c>
      <c r="GM323" s="163"/>
      <c r="GN323" s="575"/>
      <c r="GO323" s="163"/>
      <c r="GP323" s="575"/>
      <c r="GQ323" s="164"/>
      <c r="GR323" s="164"/>
      <c r="GS323" s="164"/>
      <c r="GT323" s="164"/>
      <c r="GU323" s="164">
        <f t="shared" si="714"/>
        <v>0</v>
      </c>
      <c r="GV323" s="164">
        <v>0</v>
      </c>
      <c r="GW323" s="164"/>
      <c r="GX323" s="164"/>
      <c r="GY323" s="164"/>
      <c r="GZ323" s="164"/>
      <c r="HA323" s="164"/>
      <c r="HB323" s="164"/>
      <c r="HC323" s="164"/>
      <c r="HD323" s="164"/>
      <c r="HE323" s="164"/>
      <c r="HF323" s="164"/>
      <c r="HG323" s="164">
        <f t="shared" si="715"/>
        <v>0</v>
      </c>
      <c r="HH323" s="164">
        <v>0</v>
      </c>
      <c r="HI323" s="164"/>
      <c r="HJ323" s="164"/>
      <c r="HK323" s="164">
        <f t="shared" si="716"/>
        <v>0</v>
      </c>
      <c r="HL323" s="164">
        <v>0</v>
      </c>
      <c r="HM323" s="164"/>
      <c r="HN323" s="164"/>
      <c r="HO323" s="164">
        <f t="shared" si="717"/>
        <v>0</v>
      </c>
      <c r="HP323" s="164">
        <v>0</v>
      </c>
      <c r="HQ323" s="164"/>
      <c r="HR323" s="164"/>
      <c r="HS323" s="164">
        <f t="shared" si="718"/>
        <v>0</v>
      </c>
      <c r="HT323" s="164">
        <v>0</v>
      </c>
      <c r="HU323" s="164"/>
      <c r="HV323" s="164"/>
      <c r="HW323" s="164">
        <f t="shared" si="719"/>
        <v>0</v>
      </c>
      <c r="HX323" s="164">
        <v>0</v>
      </c>
      <c r="HY323" s="164"/>
      <c r="HZ323" s="164"/>
      <c r="IA323" s="164">
        <f t="shared" si="720"/>
        <v>0</v>
      </c>
      <c r="IB323" s="164">
        <v>0</v>
      </c>
      <c r="IC323" s="164"/>
      <c r="ID323" s="164"/>
      <c r="IE323" s="645"/>
      <c r="IF323" s="170"/>
      <c r="IG323" s="170"/>
      <c r="IH323" s="170"/>
    </row>
    <row r="324" spans="2:249" s="327" customFormat="1" ht="31.5" hidden="1" customHeight="1" x14ac:dyDescent="0.25">
      <c r="B324" s="643"/>
      <c r="C324" s="164" t="s">
        <v>330</v>
      </c>
      <c r="D324" s="644"/>
      <c r="E324" s="164"/>
      <c r="F324" s="164"/>
      <c r="G324" s="164"/>
      <c r="H324" s="164"/>
      <c r="I324" s="259"/>
      <c r="J324" s="259"/>
      <c r="K324" s="164"/>
      <c r="L324" s="164"/>
      <c r="M324" s="164"/>
      <c r="N324" s="164"/>
      <c r="O324" s="259"/>
      <c r="P324" s="259"/>
      <c r="Q324" s="164"/>
      <c r="R324" s="164"/>
      <c r="S324" s="164"/>
      <c r="T324" s="164"/>
      <c r="U324" s="164"/>
      <c r="V324" s="164"/>
      <c r="W324" s="164"/>
      <c r="X324" s="259"/>
      <c r="Y324" s="259"/>
      <c r="Z324" s="164"/>
      <c r="AA324" s="164"/>
      <c r="AB324" s="164"/>
      <c r="AC324" s="164"/>
      <c r="AD324" s="164"/>
      <c r="AE324" s="164"/>
      <c r="AF324" s="164"/>
      <c r="AG324" s="164"/>
      <c r="AH324" s="164"/>
      <c r="AI324" s="164"/>
      <c r="AJ324" s="164"/>
      <c r="AK324" s="164"/>
      <c r="AL324" s="164"/>
      <c r="AM324" s="642"/>
      <c r="AN324" s="642"/>
      <c r="AO324" s="165"/>
      <c r="AP324" s="165"/>
      <c r="AQ324" s="165"/>
      <c r="AR324" s="165"/>
      <c r="AS324" s="164"/>
      <c r="AT324" s="164"/>
      <c r="AU324" s="164"/>
      <c r="AV324" s="164"/>
      <c r="AW324" s="259"/>
      <c r="AX324" s="259"/>
      <c r="AY324" s="164"/>
      <c r="AZ324" s="164"/>
      <c r="BA324" s="164"/>
      <c r="BB324" s="164"/>
      <c r="BC324" s="164"/>
      <c r="BD324" s="164"/>
      <c r="BE324" s="164"/>
      <c r="BF324" s="259"/>
      <c r="BG324" s="259"/>
      <c r="BH324" s="164"/>
      <c r="BI324" s="164"/>
      <c r="BJ324" s="164"/>
      <c r="BK324" s="165"/>
      <c r="BL324" s="164"/>
      <c r="BM324" s="164"/>
      <c r="BN324" s="164"/>
      <c r="BO324" s="164"/>
      <c r="BP324" s="164"/>
      <c r="BQ324" s="164"/>
      <c r="BR324" s="164"/>
      <c r="BS324" s="164"/>
      <c r="BT324" s="164"/>
      <c r="BU324" s="164"/>
      <c r="BV324" s="164"/>
      <c r="BW324" s="164"/>
      <c r="BX324" s="164"/>
      <c r="BY324" s="164"/>
      <c r="BZ324" s="259"/>
      <c r="CA324" s="259"/>
      <c r="CB324" s="164"/>
      <c r="CC324" s="164"/>
      <c r="CD324" s="164"/>
      <c r="CE324" s="165"/>
      <c r="CF324" s="164"/>
      <c r="CG324" s="164"/>
      <c r="CH324" s="164"/>
      <c r="CI324" s="164"/>
      <c r="CJ324" s="164"/>
      <c r="CK324" s="164"/>
      <c r="CL324" s="259"/>
      <c r="CM324" s="259"/>
      <c r="CN324" s="164"/>
      <c r="CO324" s="259"/>
      <c r="CP324" s="259"/>
      <c r="CQ324" s="164"/>
      <c r="CR324" s="164"/>
      <c r="CS324" s="164"/>
      <c r="CT324" s="164"/>
      <c r="CU324" s="164"/>
      <c r="CV324" s="164"/>
      <c r="CW324" s="164"/>
      <c r="CX324" s="164"/>
      <c r="CY324" s="164"/>
      <c r="CZ324" s="164"/>
      <c r="DA324" s="164"/>
      <c r="DB324" s="164"/>
      <c r="DC324" s="164"/>
      <c r="DD324" s="164"/>
      <c r="DE324" s="164"/>
      <c r="DF324" s="164"/>
      <c r="DG324" s="164"/>
      <c r="DH324" s="164"/>
      <c r="DI324" s="164"/>
      <c r="DJ324" s="164"/>
      <c r="DK324" s="164"/>
      <c r="DL324" s="164"/>
      <c r="DM324" s="164"/>
      <c r="DN324" s="164"/>
      <c r="DO324" s="164"/>
      <c r="DP324" s="164"/>
      <c r="DQ324" s="164"/>
      <c r="DR324" s="164"/>
      <c r="DS324" s="164"/>
      <c r="DT324" s="164"/>
      <c r="DU324" s="164"/>
      <c r="DV324" s="164"/>
      <c r="DW324" s="164"/>
      <c r="DX324" s="164"/>
      <c r="DY324" s="164"/>
      <c r="DZ324" s="164"/>
      <c r="EA324" s="164"/>
      <c r="EB324" s="164"/>
      <c r="EC324" s="164"/>
      <c r="ED324" s="164"/>
      <c r="EE324" s="164"/>
      <c r="EF324" s="164"/>
      <c r="EG324" s="164"/>
      <c r="EH324" s="164"/>
      <c r="EI324" s="164"/>
      <c r="EJ324" s="164"/>
      <c r="EK324" s="164"/>
      <c r="EL324" s="164"/>
      <c r="EM324" s="164"/>
      <c r="EN324" s="164"/>
      <c r="EO324" s="164"/>
      <c r="EP324" s="164"/>
      <c r="EQ324" s="164"/>
      <c r="ER324" s="164"/>
      <c r="ES324" s="164"/>
      <c r="ET324" s="164"/>
      <c r="EU324" s="164"/>
      <c r="EV324" s="164"/>
      <c r="EW324" s="164"/>
      <c r="EX324" s="164"/>
      <c r="EY324" s="164"/>
      <c r="EZ324" s="164"/>
      <c r="FA324" s="164"/>
      <c r="FB324" s="164"/>
      <c r="FC324" s="163">
        <f>FD324</f>
        <v>24705.669519999999</v>
      </c>
      <c r="FD324" s="163">
        <v>24705.669519999999</v>
      </c>
      <c r="FE324" s="163"/>
      <c r="FF324" s="163"/>
      <c r="FG324" s="163"/>
      <c r="FH324" s="163"/>
      <c r="FI324" s="163"/>
      <c r="FJ324" s="163"/>
      <c r="FK324" s="163"/>
      <c r="FL324" s="163"/>
      <c r="FM324" s="163"/>
      <c r="FN324" s="163"/>
      <c r="FO324" s="163"/>
      <c r="FP324" s="163"/>
      <c r="FQ324" s="163"/>
      <c r="FR324" s="163"/>
      <c r="FS324" s="163">
        <f>FU324</f>
        <v>0</v>
      </c>
      <c r="FT324" s="575">
        <f t="shared" si="640"/>
        <v>0</v>
      </c>
      <c r="FU324" s="163">
        <v>0</v>
      </c>
      <c r="FV324" s="575">
        <f t="shared" si="641"/>
        <v>0</v>
      </c>
      <c r="FW324" s="164"/>
      <c r="FX324" s="575"/>
      <c r="FY324" s="164"/>
      <c r="FZ324" s="668"/>
      <c r="GA324" s="163">
        <f>GC324</f>
        <v>0</v>
      </c>
      <c r="GB324" s="575">
        <f>GA324/FC324</f>
        <v>0</v>
      </c>
      <c r="GC324" s="163">
        <v>0</v>
      </c>
      <c r="GD324" s="575">
        <f>GC324/FD324</f>
        <v>0</v>
      </c>
      <c r="GE324" s="164"/>
      <c r="GF324" s="575"/>
      <c r="GG324" s="163"/>
      <c r="GH324" s="575"/>
      <c r="GI324" s="103">
        <f t="shared" si="703"/>
        <v>24705.669519999999</v>
      </c>
      <c r="GJ324" s="575">
        <f>GI324/FC324</f>
        <v>1</v>
      </c>
      <c r="GK324" s="163">
        <v>24705.669519999999</v>
      </c>
      <c r="GL324" s="575">
        <f>GK324/FD324</f>
        <v>1</v>
      </c>
      <c r="GM324" s="163"/>
      <c r="GN324" s="575"/>
      <c r="GO324" s="163"/>
      <c r="GP324" s="575"/>
      <c r="GQ324" s="164"/>
      <c r="GR324" s="164"/>
      <c r="GS324" s="164"/>
      <c r="GT324" s="164"/>
      <c r="GU324" s="164"/>
      <c r="GV324" s="164"/>
      <c r="GW324" s="164"/>
      <c r="GX324" s="164"/>
      <c r="GY324" s="164"/>
      <c r="GZ324" s="164"/>
      <c r="HA324" s="164"/>
      <c r="HB324" s="164"/>
      <c r="HC324" s="164"/>
      <c r="HD324" s="164"/>
      <c r="HE324" s="164"/>
      <c r="HF324" s="164"/>
      <c r="HG324" s="164"/>
      <c r="HH324" s="164"/>
      <c r="HI324" s="164"/>
      <c r="HJ324" s="164"/>
      <c r="HK324" s="164"/>
      <c r="HL324" s="164"/>
      <c r="HM324" s="164"/>
      <c r="HN324" s="164"/>
      <c r="HO324" s="164"/>
      <c r="HP324" s="164"/>
      <c r="HQ324" s="164"/>
      <c r="HR324" s="164"/>
      <c r="HS324" s="164"/>
      <c r="HT324" s="164"/>
      <c r="HU324" s="164"/>
      <c r="HV324" s="164"/>
      <c r="HW324" s="164"/>
      <c r="HX324" s="164"/>
      <c r="HY324" s="164"/>
      <c r="HZ324" s="164"/>
      <c r="IA324" s="164"/>
      <c r="IB324" s="164"/>
      <c r="IC324" s="164"/>
      <c r="ID324" s="164"/>
      <c r="IE324" s="645"/>
      <c r="IF324" s="170"/>
      <c r="IG324" s="170"/>
      <c r="IH324" s="170"/>
    </row>
    <row r="325" spans="2:249" s="327" customFormat="1" ht="31.5" hidden="1" customHeight="1" x14ac:dyDescent="0.25">
      <c r="B325" s="643"/>
      <c r="C325" s="164" t="s">
        <v>172</v>
      </c>
      <c r="D325" s="644"/>
      <c r="E325" s="164"/>
      <c r="F325" s="164"/>
      <c r="G325" s="164"/>
      <c r="H325" s="164"/>
      <c r="I325" s="259"/>
      <c r="J325" s="259"/>
      <c r="K325" s="164"/>
      <c r="L325" s="164"/>
      <c r="M325" s="164"/>
      <c r="N325" s="164"/>
      <c r="O325" s="259"/>
      <c r="P325" s="259"/>
      <c r="Q325" s="164"/>
      <c r="R325" s="164"/>
      <c r="S325" s="164"/>
      <c r="T325" s="164"/>
      <c r="U325" s="164"/>
      <c r="V325" s="164"/>
      <c r="W325" s="164"/>
      <c r="X325" s="259"/>
      <c r="Y325" s="259"/>
      <c r="Z325" s="164"/>
      <c r="AA325" s="164"/>
      <c r="AB325" s="164"/>
      <c r="AC325" s="164"/>
      <c r="AD325" s="164"/>
      <c r="AE325" s="164"/>
      <c r="AF325" s="164"/>
      <c r="AG325" s="164"/>
      <c r="AH325" s="164"/>
      <c r="AI325" s="164"/>
      <c r="AJ325" s="164"/>
      <c r="AK325" s="164"/>
      <c r="AL325" s="164"/>
      <c r="AM325" s="642"/>
      <c r="AN325" s="642"/>
      <c r="AO325" s="165"/>
      <c r="AP325" s="165"/>
      <c r="AQ325" s="165"/>
      <c r="AR325" s="165"/>
      <c r="AS325" s="164"/>
      <c r="AT325" s="164"/>
      <c r="AU325" s="164"/>
      <c r="AV325" s="164"/>
      <c r="AW325" s="259"/>
      <c r="AX325" s="259"/>
      <c r="AY325" s="164"/>
      <c r="AZ325" s="164"/>
      <c r="BA325" s="164"/>
      <c r="BB325" s="164"/>
      <c r="BC325" s="164"/>
      <c r="BD325" s="164"/>
      <c r="BE325" s="164"/>
      <c r="BF325" s="259"/>
      <c r="BG325" s="259"/>
      <c r="BH325" s="164"/>
      <c r="BI325" s="164"/>
      <c r="BJ325" s="164"/>
      <c r="BK325" s="165"/>
      <c r="BL325" s="164"/>
      <c r="BM325" s="164"/>
      <c r="BN325" s="164"/>
      <c r="BO325" s="164"/>
      <c r="BP325" s="164"/>
      <c r="BQ325" s="164"/>
      <c r="BR325" s="164"/>
      <c r="BS325" s="164"/>
      <c r="BT325" s="164"/>
      <c r="BU325" s="164"/>
      <c r="BV325" s="164"/>
      <c r="BW325" s="164"/>
      <c r="BX325" s="164"/>
      <c r="BY325" s="164"/>
      <c r="BZ325" s="259"/>
      <c r="CA325" s="259"/>
      <c r="CB325" s="164"/>
      <c r="CC325" s="164"/>
      <c r="CD325" s="164"/>
      <c r="CE325" s="165"/>
      <c r="CF325" s="164"/>
      <c r="CG325" s="164"/>
      <c r="CH325" s="164"/>
      <c r="CI325" s="164"/>
      <c r="CJ325" s="164"/>
      <c r="CK325" s="164"/>
      <c r="CL325" s="259"/>
      <c r="CM325" s="259"/>
      <c r="CN325" s="164"/>
      <c r="CO325" s="259"/>
      <c r="CP325" s="259"/>
      <c r="CQ325" s="164"/>
      <c r="CR325" s="164"/>
      <c r="CS325" s="164"/>
      <c r="CT325" s="164"/>
      <c r="CU325" s="164"/>
      <c r="CV325" s="164"/>
      <c r="CW325" s="164"/>
      <c r="CX325" s="164"/>
      <c r="CY325" s="164"/>
      <c r="CZ325" s="164"/>
      <c r="DA325" s="164"/>
      <c r="DB325" s="164"/>
      <c r="DC325" s="164"/>
      <c r="DD325" s="164"/>
      <c r="DE325" s="164"/>
      <c r="DF325" s="164"/>
      <c r="DG325" s="164"/>
      <c r="DH325" s="164"/>
      <c r="DI325" s="164"/>
      <c r="DJ325" s="164"/>
      <c r="DK325" s="164"/>
      <c r="DL325" s="164"/>
      <c r="DM325" s="164"/>
      <c r="DN325" s="164"/>
      <c r="DO325" s="164"/>
      <c r="DP325" s="164"/>
      <c r="DQ325" s="164"/>
      <c r="DR325" s="164"/>
      <c r="DS325" s="164"/>
      <c r="DT325" s="164"/>
      <c r="DU325" s="164"/>
      <c r="DV325" s="164"/>
      <c r="DW325" s="164"/>
      <c r="DX325" s="164"/>
      <c r="DY325" s="164"/>
      <c r="DZ325" s="164"/>
      <c r="EA325" s="164"/>
      <c r="EB325" s="164"/>
      <c r="EC325" s="164"/>
      <c r="ED325" s="164"/>
      <c r="EE325" s="164"/>
      <c r="EF325" s="164"/>
      <c r="EG325" s="164"/>
      <c r="EH325" s="164"/>
      <c r="EI325" s="164"/>
      <c r="EJ325" s="164"/>
      <c r="EK325" s="164"/>
      <c r="EL325" s="164"/>
      <c r="EM325" s="164"/>
      <c r="EN325" s="164"/>
      <c r="EO325" s="164"/>
      <c r="EP325" s="164"/>
      <c r="EQ325" s="164"/>
      <c r="ER325" s="164"/>
      <c r="ES325" s="164"/>
      <c r="ET325" s="164"/>
      <c r="EU325" s="164"/>
      <c r="EV325" s="164"/>
      <c r="EW325" s="164"/>
      <c r="EX325" s="164"/>
      <c r="EY325" s="164"/>
      <c r="EZ325" s="164"/>
      <c r="FA325" s="164"/>
      <c r="FB325" s="164"/>
      <c r="FC325" s="163">
        <f>FD325</f>
        <v>1237.9052999999999</v>
      </c>
      <c r="FD325" s="163">
        <v>1237.9052999999999</v>
      </c>
      <c r="FE325" s="163"/>
      <c r="FF325" s="163"/>
      <c r="FG325" s="163"/>
      <c r="FH325" s="163"/>
      <c r="FI325" s="163"/>
      <c r="FJ325" s="163"/>
      <c r="FK325" s="163"/>
      <c r="FL325" s="163"/>
      <c r="FM325" s="163"/>
      <c r="FN325" s="163"/>
      <c r="FO325" s="163"/>
      <c r="FP325" s="163"/>
      <c r="FQ325" s="163"/>
      <c r="FR325" s="163"/>
      <c r="FS325" s="163">
        <f>FU325</f>
        <v>1237.9052999999999</v>
      </c>
      <c r="FT325" s="575">
        <f t="shared" si="640"/>
        <v>1</v>
      </c>
      <c r="FU325" s="163">
        <v>1237.9052999999999</v>
      </c>
      <c r="FV325" s="575">
        <f t="shared" si="641"/>
        <v>1</v>
      </c>
      <c r="FW325" s="164"/>
      <c r="FX325" s="575"/>
      <c r="FY325" s="164"/>
      <c r="FZ325" s="668"/>
      <c r="GA325" s="163">
        <f>GC325</f>
        <v>1237.9052999999999</v>
      </c>
      <c r="GB325" s="575">
        <f>GA325/FC325</f>
        <v>1</v>
      </c>
      <c r="GC325" s="163">
        <v>1237.9052999999999</v>
      </c>
      <c r="GD325" s="575">
        <f>GC325/FD325</f>
        <v>1</v>
      </c>
      <c r="GE325" s="164"/>
      <c r="GF325" s="575"/>
      <c r="GG325" s="163"/>
      <c r="GH325" s="575"/>
      <c r="GI325" s="103">
        <f t="shared" si="703"/>
        <v>1237.9052999999999</v>
      </c>
      <c r="GJ325" s="575">
        <f>GI325/FC325</f>
        <v>1</v>
      </c>
      <c r="GK325" s="163">
        <v>1237.9052999999999</v>
      </c>
      <c r="GL325" s="575">
        <f>GK325/FD325</f>
        <v>1</v>
      </c>
      <c r="GM325" s="163"/>
      <c r="GN325" s="575"/>
      <c r="GO325" s="163"/>
      <c r="GP325" s="575"/>
      <c r="GQ325" s="164"/>
      <c r="GR325" s="164"/>
      <c r="GS325" s="164"/>
      <c r="GT325" s="164"/>
      <c r="GU325" s="164"/>
      <c r="GV325" s="164"/>
      <c r="GW325" s="164"/>
      <c r="GX325" s="164"/>
      <c r="GY325" s="164"/>
      <c r="GZ325" s="164"/>
      <c r="HA325" s="164"/>
      <c r="HB325" s="164"/>
      <c r="HC325" s="164"/>
      <c r="HD325" s="164"/>
      <c r="HE325" s="164"/>
      <c r="HF325" s="164"/>
      <c r="HG325" s="164"/>
      <c r="HH325" s="164"/>
      <c r="HI325" s="164"/>
      <c r="HJ325" s="164"/>
      <c r="HK325" s="164"/>
      <c r="HL325" s="164"/>
      <c r="HM325" s="164"/>
      <c r="HN325" s="164"/>
      <c r="HO325" s="164"/>
      <c r="HP325" s="164"/>
      <c r="HQ325" s="164"/>
      <c r="HR325" s="164"/>
      <c r="HS325" s="164"/>
      <c r="HT325" s="164"/>
      <c r="HU325" s="164"/>
      <c r="HV325" s="164"/>
      <c r="HW325" s="164"/>
      <c r="HX325" s="164"/>
      <c r="HY325" s="164"/>
      <c r="HZ325" s="164"/>
      <c r="IA325" s="164"/>
      <c r="IB325" s="164"/>
      <c r="IC325" s="164"/>
      <c r="ID325" s="164"/>
      <c r="IE325" s="645"/>
      <c r="IF325" s="170"/>
      <c r="IG325" s="170"/>
      <c r="IH325" s="170"/>
    </row>
    <row r="326" spans="2:249" s="327" customFormat="1" ht="69" hidden="1" customHeight="1" x14ac:dyDescent="0.3">
      <c r="B326" s="324"/>
      <c r="C326" s="266" t="s">
        <v>521</v>
      </c>
      <c r="D326" s="328"/>
      <c r="E326" s="328"/>
      <c r="F326" s="328"/>
      <c r="G326" s="328"/>
      <c r="H326" s="328"/>
      <c r="I326" s="328"/>
      <c r="J326" s="328"/>
      <c r="K326" s="328"/>
      <c r="L326" s="328"/>
      <c r="M326" s="328"/>
      <c r="N326" s="328"/>
      <c r="O326" s="328"/>
      <c r="P326" s="328"/>
      <c r="Q326" s="328"/>
      <c r="R326" s="328"/>
      <c r="S326" s="328"/>
      <c r="T326" s="328"/>
      <c r="U326" s="328"/>
      <c r="V326" s="328"/>
      <c r="W326" s="328"/>
      <c r="X326" s="328"/>
      <c r="Y326" s="328"/>
      <c r="Z326" s="328"/>
      <c r="AA326" s="328"/>
      <c r="AB326" s="328"/>
      <c r="AC326" s="328"/>
      <c r="AD326" s="328"/>
      <c r="AE326" s="328"/>
      <c r="AF326" s="328"/>
      <c r="AG326" s="328"/>
      <c r="AH326" s="328"/>
      <c r="AI326" s="328"/>
      <c r="AJ326" s="328"/>
      <c r="AK326" s="328"/>
      <c r="AL326" s="328"/>
      <c r="AM326" s="328"/>
      <c r="AN326" s="328"/>
      <c r="AO326" s="328"/>
      <c r="AP326" s="328"/>
      <c r="AQ326" s="328"/>
      <c r="AR326" s="328"/>
      <c r="AS326" s="328"/>
      <c r="AT326" s="328"/>
      <c r="AU326" s="328"/>
      <c r="AV326" s="328"/>
      <c r="AW326" s="328"/>
      <c r="AX326" s="328"/>
      <c r="AY326" s="328"/>
      <c r="AZ326" s="328"/>
      <c r="BA326" s="328"/>
      <c r="BB326" s="328"/>
      <c r="BC326" s="328"/>
      <c r="BD326" s="328"/>
      <c r="BE326" s="328"/>
      <c r="BF326" s="328"/>
      <c r="BG326" s="328"/>
      <c r="BH326" s="328"/>
      <c r="BI326" s="328"/>
      <c r="BJ326" s="328"/>
      <c r="BK326" s="328"/>
      <c r="BL326" s="328"/>
      <c r="BM326" s="328"/>
      <c r="BN326" s="328"/>
      <c r="BO326" s="328"/>
      <c r="BP326" s="328"/>
      <c r="BQ326" s="328"/>
      <c r="BR326" s="328"/>
      <c r="BS326" s="328"/>
      <c r="BT326" s="328"/>
      <c r="BU326" s="328"/>
      <c r="BV326" s="328"/>
      <c r="BW326" s="328"/>
      <c r="BX326" s="328"/>
      <c r="BY326" s="328"/>
      <c r="BZ326" s="328"/>
      <c r="CA326" s="328"/>
      <c r="CB326" s="328"/>
      <c r="CC326" s="328"/>
      <c r="CD326" s="328"/>
      <c r="CE326" s="328"/>
      <c r="CF326" s="328"/>
      <c r="CG326" s="328"/>
      <c r="CH326" s="328"/>
      <c r="CI326" s="328"/>
      <c r="CJ326" s="328"/>
      <c r="CK326" s="328"/>
      <c r="CL326" s="328"/>
      <c r="CM326" s="328"/>
      <c r="CN326" s="328"/>
      <c r="CO326" s="328"/>
      <c r="CP326" s="328"/>
      <c r="CQ326" s="328"/>
      <c r="CR326" s="328"/>
      <c r="CS326" s="328"/>
      <c r="CT326" s="328"/>
      <c r="CU326" s="328"/>
      <c r="CV326" s="328"/>
      <c r="CW326" s="164" t="e">
        <f>CX326+#REF!</f>
        <v>#REF!</v>
      </c>
      <c r="CX326" s="164">
        <v>8026.6367200000004</v>
      </c>
      <c r="CY326" s="164"/>
      <c r="CZ326" s="164"/>
      <c r="DA326" s="164"/>
      <c r="DB326" s="164"/>
      <c r="DC326" s="164"/>
      <c r="DD326" s="164"/>
      <c r="DE326" s="164"/>
      <c r="DF326" s="164">
        <f t="shared" si="701"/>
        <v>0</v>
      </c>
      <c r="DG326" s="164">
        <f t="shared" si="709"/>
        <v>0</v>
      </c>
      <c r="DH326" s="164"/>
      <c r="DI326" s="181">
        <f t="shared" si="637"/>
        <v>8026.6367200000004</v>
      </c>
      <c r="DJ326" s="164">
        <f>CX326</f>
        <v>8026.6367200000004</v>
      </c>
      <c r="DK326" s="164"/>
      <c r="DL326" s="164" t="e">
        <f>DM326+#REF!</f>
        <v>#REF!</v>
      </c>
      <c r="DM326" s="164">
        <v>0</v>
      </c>
      <c r="DN326" s="164"/>
      <c r="DO326" s="164" t="e">
        <f>DP326+#REF!</f>
        <v>#REF!</v>
      </c>
      <c r="DP326" s="164">
        <v>0</v>
      </c>
      <c r="DQ326" s="164"/>
      <c r="DR326" s="164" t="e">
        <f>DS326+#REF!</f>
        <v>#REF!</v>
      </c>
      <c r="DS326" s="164">
        <f t="shared" si="710"/>
        <v>8026.6367200000004</v>
      </c>
      <c r="DT326" s="164"/>
      <c r="DU326" s="164">
        <f t="shared" si="725"/>
        <v>6000</v>
      </c>
      <c r="DV326" s="164">
        <v>6000</v>
      </c>
      <c r="DW326" s="164"/>
      <c r="DX326" s="164"/>
      <c r="DY326" s="164"/>
      <c r="DZ326" s="164"/>
      <c r="EA326" s="164"/>
      <c r="EB326" s="164"/>
      <c r="EC326" s="164"/>
      <c r="ED326" s="181">
        <f t="shared" si="729"/>
        <v>0</v>
      </c>
      <c r="EE326" s="164">
        <f t="shared" si="731"/>
        <v>0</v>
      </c>
      <c r="EF326" s="164"/>
      <c r="EG326" s="181">
        <f t="shared" si="711"/>
        <v>6000</v>
      </c>
      <c r="EH326" s="164">
        <v>6000</v>
      </c>
      <c r="EI326" s="164"/>
      <c r="EJ326" s="164"/>
      <c r="EK326" s="164"/>
      <c r="EL326" s="164"/>
      <c r="EM326" s="164"/>
      <c r="EN326" s="164"/>
      <c r="EO326" s="164"/>
      <c r="EP326" s="164"/>
      <c r="EQ326" s="164"/>
      <c r="ER326" s="164"/>
      <c r="ES326" s="164">
        <f t="shared" si="712"/>
        <v>0</v>
      </c>
      <c r="ET326" s="164"/>
      <c r="EU326" s="164"/>
      <c r="EV326" s="164"/>
      <c r="EW326" s="164">
        <f t="shared" si="726"/>
        <v>6000</v>
      </c>
      <c r="EX326" s="164">
        <v>6000</v>
      </c>
      <c r="EY326" s="164"/>
      <c r="EZ326" s="181">
        <f t="shared" si="638"/>
        <v>14646.849279999999</v>
      </c>
      <c r="FA326" s="164">
        <f t="shared" si="732"/>
        <v>14646.849279999999</v>
      </c>
      <c r="FB326" s="164"/>
      <c r="FC326" s="180">
        <f t="shared" si="656"/>
        <v>20646.849279999999</v>
      </c>
      <c r="FD326" s="163">
        <f>FD327</f>
        <v>20646.849279999999</v>
      </c>
      <c r="FE326" s="163"/>
      <c r="FF326" s="163"/>
      <c r="FG326" s="163">
        <f t="shared" si="727"/>
        <v>0</v>
      </c>
      <c r="FH326" s="163">
        <f t="shared" si="728"/>
        <v>0</v>
      </c>
      <c r="FI326" s="163"/>
      <c r="FJ326" s="163"/>
      <c r="FK326" s="163"/>
      <c r="FL326" s="163"/>
      <c r="FM326" s="163"/>
      <c r="FN326" s="163"/>
      <c r="FO326" s="180">
        <f t="shared" si="713"/>
        <v>20646.849279999999</v>
      </c>
      <c r="FP326" s="163">
        <f t="shared" si="730"/>
        <v>20646.849279999999</v>
      </c>
      <c r="FQ326" s="163"/>
      <c r="FR326" s="163"/>
      <c r="FS326" s="163"/>
      <c r="FT326" s="577">
        <f t="shared" si="640"/>
        <v>0</v>
      </c>
      <c r="FU326" s="163"/>
      <c r="FV326" s="577">
        <f t="shared" si="641"/>
        <v>0</v>
      </c>
      <c r="FW326" s="164"/>
      <c r="FX326" s="577"/>
      <c r="FY326" s="164"/>
      <c r="FZ326" s="672"/>
      <c r="GA326" s="163"/>
      <c r="GB326" s="577"/>
      <c r="GC326" s="163"/>
      <c r="GD326" s="577"/>
      <c r="GE326" s="164"/>
      <c r="GF326" s="577"/>
      <c r="GG326" s="163"/>
      <c r="GH326" s="577"/>
      <c r="GI326" s="103">
        <f t="shared" si="703"/>
        <v>20646.849279999999</v>
      </c>
      <c r="GJ326" s="577">
        <f t="shared" si="658"/>
        <v>1</v>
      </c>
      <c r="GK326" s="163">
        <f>GK327</f>
        <v>20646.849279999999</v>
      </c>
      <c r="GL326" s="577">
        <f t="shared" si="659"/>
        <v>1</v>
      </c>
      <c r="GM326" s="163"/>
      <c r="GN326" s="577"/>
      <c r="GO326" s="163"/>
      <c r="GP326" s="577"/>
      <c r="GQ326" s="164"/>
      <c r="GR326" s="164"/>
      <c r="GS326" s="164"/>
      <c r="GT326" s="164"/>
      <c r="GU326" s="181">
        <f t="shared" si="714"/>
        <v>0</v>
      </c>
      <c r="GV326" s="164">
        <v>0</v>
      </c>
      <c r="GW326" s="164"/>
      <c r="GX326" s="164"/>
      <c r="GY326" s="164"/>
      <c r="GZ326" s="164"/>
      <c r="HA326" s="164"/>
      <c r="HB326" s="164"/>
      <c r="HC326" s="164"/>
      <c r="HD326" s="164"/>
      <c r="HE326" s="164"/>
      <c r="HF326" s="164"/>
      <c r="HG326" s="181">
        <f t="shared" si="715"/>
        <v>0</v>
      </c>
      <c r="HH326" s="164">
        <v>0</v>
      </c>
      <c r="HI326" s="164"/>
      <c r="HJ326" s="164"/>
      <c r="HK326" s="181">
        <f t="shared" si="716"/>
        <v>0</v>
      </c>
      <c r="HL326" s="164">
        <v>0</v>
      </c>
      <c r="HM326" s="164"/>
      <c r="HN326" s="164"/>
      <c r="HO326" s="181">
        <f t="shared" si="717"/>
        <v>0</v>
      </c>
      <c r="HP326" s="164">
        <v>0</v>
      </c>
      <c r="HQ326" s="164"/>
      <c r="HR326" s="164"/>
      <c r="HS326" s="181">
        <f t="shared" si="718"/>
        <v>0</v>
      </c>
      <c r="HT326" s="164">
        <v>0</v>
      </c>
      <c r="HU326" s="164"/>
      <c r="HV326" s="164"/>
      <c r="HW326" s="181">
        <f t="shared" si="719"/>
        <v>0</v>
      </c>
      <c r="HX326" s="164">
        <v>0</v>
      </c>
      <c r="HY326" s="164"/>
      <c r="HZ326" s="164"/>
      <c r="IA326" s="181">
        <f t="shared" si="720"/>
        <v>0</v>
      </c>
      <c r="IB326" s="164">
        <v>0</v>
      </c>
      <c r="IC326" s="164"/>
      <c r="ID326" s="164"/>
      <c r="IE326" s="321"/>
      <c r="IF326" s="170"/>
      <c r="IG326" s="170"/>
      <c r="IH326" s="170"/>
    </row>
    <row r="327" spans="2:249" s="327" customFormat="1" ht="42" hidden="1" customHeight="1" x14ac:dyDescent="0.3">
      <c r="B327" s="324"/>
      <c r="C327" s="164" t="s">
        <v>330</v>
      </c>
      <c r="D327" s="328"/>
      <c r="E327" s="328"/>
      <c r="F327" s="328"/>
      <c r="G327" s="328"/>
      <c r="H327" s="328"/>
      <c r="I327" s="328"/>
      <c r="J327" s="328"/>
      <c r="K327" s="328"/>
      <c r="L327" s="328"/>
      <c r="M327" s="328"/>
      <c r="N327" s="328"/>
      <c r="O327" s="328"/>
      <c r="P327" s="328"/>
      <c r="Q327" s="328"/>
      <c r="R327" s="328"/>
      <c r="S327" s="328"/>
      <c r="T327" s="328"/>
      <c r="U327" s="328"/>
      <c r="V327" s="328"/>
      <c r="W327" s="328"/>
      <c r="X327" s="328"/>
      <c r="Y327" s="328"/>
      <c r="Z327" s="328"/>
      <c r="AA327" s="328"/>
      <c r="AB327" s="328"/>
      <c r="AC327" s="328"/>
      <c r="AD327" s="328"/>
      <c r="AE327" s="328"/>
      <c r="AF327" s="328"/>
      <c r="AG327" s="328"/>
      <c r="AH327" s="328"/>
      <c r="AI327" s="328"/>
      <c r="AJ327" s="328"/>
      <c r="AK327" s="328"/>
      <c r="AL327" s="328"/>
      <c r="AM327" s="328"/>
      <c r="AN327" s="328"/>
      <c r="AO327" s="328"/>
      <c r="AP327" s="328"/>
      <c r="AQ327" s="328"/>
      <c r="AR327" s="328"/>
      <c r="AS327" s="328"/>
      <c r="AT327" s="328"/>
      <c r="AU327" s="328"/>
      <c r="AV327" s="328"/>
      <c r="AW327" s="328"/>
      <c r="AX327" s="328"/>
      <c r="AY327" s="328"/>
      <c r="AZ327" s="328"/>
      <c r="BA327" s="328"/>
      <c r="BB327" s="328"/>
      <c r="BC327" s="328"/>
      <c r="BD327" s="328"/>
      <c r="BE327" s="328"/>
      <c r="BF327" s="328"/>
      <c r="BG327" s="328"/>
      <c r="BH327" s="328"/>
      <c r="BI327" s="328"/>
      <c r="BJ327" s="328"/>
      <c r="BK327" s="328"/>
      <c r="BL327" s="328"/>
      <c r="BM327" s="328"/>
      <c r="BN327" s="328"/>
      <c r="BO327" s="328"/>
      <c r="BP327" s="328"/>
      <c r="BQ327" s="328"/>
      <c r="BR327" s="328"/>
      <c r="BS327" s="328"/>
      <c r="BT327" s="328"/>
      <c r="BU327" s="328"/>
      <c r="BV327" s="328"/>
      <c r="BW327" s="328"/>
      <c r="BX327" s="328"/>
      <c r="BY327" s="328"/>
      <c r="BZ327" s="328"/>
      <c r="CA327" s="328"/>
      <c r="CB327" s="328"/>
      <c r="CC327" s="328"/>
      <c r="CD327" s="328"/>
      <c r="CE327" s="328"/>
      <c r="CF327" s="328"/>
      <c r="CG327" s="328"/>
      <c r="CH327" s="328"/>
      <c r="CI327" s="328"/>
      <c r="CJ327" s="328"/>
      <c r="CK327" s="328"/>
      <c r="CL327" s="328"/>
      <c r="CM327" s="328"/>
      <c r="CN327" s="328"/>
      <c r="CO327" s="328"/>
      <c r="CP327" s="328"/>
      <c r="CQ327" s="328"/>
      <c r="CR327" s="328"/>
      <c r="CS327" s="328"/>
      <c r="CT327" s="328"/>
      <c r="CU327" s="328"/>
      <c r="CV327" s="328"/>
      <c r="CW327" s="164"/>
      <c r="CX327" s="164"/>
      <c r="CY327" s="164"/>
      <c r="CZ327" s="164"/>
      <c r="DA327" s="164"/>
      <c r="DB327" s="164"/>
      <c r="DC327" s="164"/>
      <c r="DD327" s="164"/>
      <c r="DE327" s="164"/>
      <c r="DF327" s="164"/>
      <c r="DG327" s="164"/>
      <c r="DH327" s="164"/>
      <c r="DI327" s="181"/>
      <c r="DJ327" s="164"/>
      <c r="DK327" s="164"/>
      <c r="DL327" s="164"/>
      <c r="DM327" s="164"/>
      <c r="DN327" s="164"/>
      <c r="DO327" s="164"/>
      <c r="DP327" s="164"/>
      <c r="DQ327" s="164"/>
      <c r="DR327" s="164"/>
      <c r="DS327" s="164"/>
      <c r="DT327" s="164"/>
      <c r="DU327" s="164"/>
      <c r="DV327" s="164"/>
      <c r="DW327" s="164"/>
      <c r="DX327" s="164"/>
      <c r="DY327" s="164"/>
      <c r="DZ327" s="164"/>
      <c r="EA327" s="164"/>
      <c r="EB327" s="164"/>
      <c r="EC327" s="164"/>
      <c r="ED327" s="181"/>
      <c r="EE327" s="164"/>
      <c r="EF327" s="164"/>
      <c r="EG327" s="181"/>
      <c r="EH327" s="164"/>
      <c r="EI327" s="164"/>
      <c r="EJ327" s="164"/>
      <c r="EK327" s="164"/>
      <c r="EL327" s="164"/>
      <c r="EM327" s="164"/>
      <c r="EN327" s="164"/>
      <c r="EO327" s="164"/>
      <c r="EP327" s="164"/>
      <c r="EQ327" s="164"/>
      <c r="ER327" s="164"/>
      <c r="ES327" s="164"/>
      <c r="ET327" s="164"/>
      <c r="EU327" s="164"/>
      <c r="EV327" s="164"/>
      <c r="EW327" s="164"/>
      <c r="EX327" s="164"/>
      <c r="EY327" s="164"/>
      <c r="EZ327" s="181"/>
      <c r="FA327" s="164"/>
      <c r="FB327" s="164"/>
      <c r="FC327" s="180">
        <f>FD327</f>
        <v>20646.849279999999</v>
      </c>
      <c r="FD327" s="163">
        <v>20646.849279999999</v>
      </c>
      <c r="FE327" s="163"/>
      <c r="FF327" s="163"/>
      <c r="FG327" s="163"/>
      <c r="FH327" s="163"/>
      <c r="FI327" s="163"/>
      <c r="FJ327" s="163"/>
      <c r="FK327" s="163"/>
      <c r="FL327" s="163"/>
      <c r="FM327" s="163"/>
      <c r="FN327" s="163"/>
      <c r="FO327" s="180"/>
      <c r="FP327" s="163"/>
      <c r="FQ327" s="163"/>
      <c r="FR327" s="163"/>
      <c r="FS327" s="163"/>
      <c r="FT327" s="577">
        <f t="shared" si="640"/>
        <v>0</v>
      </c>
      <c r="FU327" s="163"/>
      <c r="FV327" s="577">
        <f t="shared" si="641"/>
        <v>0</v>
      </c>
      <c r="FW327" s="164"/>
      <c r="FX327" s="577"/>
      <c r="FY327" s="164"/>
      <c r="FZ327" s="672"/>
      <c r="GA327" s="163"/>
      <c r="GB327" s="577"/>
      <c r="GC327" s="163"/>
      <c r="GD327" s="577"/>
      <c r="GE327" s="164"/>
      <c r="GF327" s="577"/>
      <c r="GG327" s="163"/>
      <c r="GH327" s="577"/>
      <c r="GI327" s="103">
        <f t="shared" si="703"/>
        <v>20646.849279999999</v>
      </c>
      <c r="GJ327" s="577">
        <f t="shared" si="658"/>
        <v>1</v>
      </c>
      <c r="GK327" s="163">
        <v>20646.849279999999</v>
      </c>
      <c r="GL327" s="577">
        <f t="shared" si="659"/>
        <v>1</v>
      </c>
      <c r="GM327" s="163"/>
      <c r="GN327" s="577"/>
      <c r="GO327" s="163"/>
      <c r="GP327" s="577"/>
      <c r="GQ327" s="164"/>
      <c r="GR327" s="164"/>
      <c r="GS327" s="164"/>
      <c r="GT327" s="164"/>
      <c r="GU327" s="181"/>
      <c r="GV327" s="164"/>
      <c r="GW327" s="164"/>
      <c r="GX327" s="164"/>
      <c r="GY327" s="164"/>
      <c r="GZ327" s="164"/>
      <c r="HA327" s="164"/>
      <c r="HB327" s="164"/>
      <c r="HC327" s="164"/>
      <c r="HD327" s="164"/>
      <c r="HE327" s="164"/>
      <c r="HF327" s="164"/>
      <c r="HG327" s="181"/>
      <c r="HH327" s="164"/>
      <c r="HI327" s="164"/>
      <c r="HJ327" s="164"/>
      <c r="HK327" s="181"/>
      <c r="HL327" s="164"/>
      <c r="HM327" s="164"/>
      <c r="HN327" s="164"/>
      <c r="HO327" s="181"/>
      <c r="HP327" s="164"/>
      <c r="HQ327" s="164"/>
      <c r="HR327" s="164"/>
      <c r="HS327" s="181"/>
      <c r="HT327" s="164"/>
      <c r="HU327" s="164"/>
      <c r="HV327" s="164"/>
      <c r="HW327" s="181"/>
      <c r="HX327" s="164"/>
      <c r="HY327" s="164"/>
      <c r="HZ327" s="164"/>
      <c r="IA327" s="181"/>
      <c r="IB327" s="164"/>
      <c r="IC327" s="164"/>
      <c r="ID327" s="164"/>
      <c r="IE327" s="321"/>
      <c r="IF327" s="170"/>
      <c r="IG327" s="170"/>
      <c r="IH327" s="170"/>
    </row>
    <row r="328" spans="2:249" s="327" customFormat="1" ht="55.5" hidden="1" customHeight="1" x14ac:dyDescent="0.3">
      <c r="B328" s="324"/>
      <c r="C328" s="266" t="s">
        <v>409</v>
      </c>
      <c r="D328" s="328"/>
      <c r="E328" s="328"/>
      <c r="F328" s="328"/>
      <c r="G328" s="328"/>
      <c r="H328" s="328"/>
      <c r="I328" s="328"/>
      <c r="J328" s="328"/>
      <c r="K328" s="328"/>
      <c r="L328" s="328"/>
      <c r="M328" s="328"/>
      <c r="N328" s="328"/>
      <c r="O328" s="328"/>
      <c r="P328" s="328"/>
      <c r="Q328" s="328"/>
      <c r="R328" s="328"/>
      <c r="S328" s="328"/>
      <c r="T328" s="328"/>
      <c r="U328" s="328"/>
      <c r="V328" s="328"/>
      <c r="W328" s="328"/>
      <c r="X328" s="328"/>
      <c r="Y328" s="328"/>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28"/>
      <c r="AV328" s="328"/>
      <c r="AW328" s="328"/>
      <c r="AX328" s="328"/>
      <c r="AY328" s="328"/>
      <c r="AZ328" s="328"/>
      <c r="BA328" s="328"/>
      <c r="BB328" s="328"/>
      <c r="BC328" s="328"/>
      <c r="BD328" s="328"/>
      <c r="BE328" s="328"/>
      <c r="BF328" s="328"/>
      <c r="BG328" s="328"/>
      <c r="BH328" s="328"/>
      <c r="BI328" s="328"/>
      <c r="BJ328" s="328"/>
      <c r="BK328" s="328"/>
      <c r="BL328" s="328"/>
      <c r="BM328" s="328"/>
      <c r="BN328" s="328"/>
      <c r="BO328" s="328"/>
      <c r="BP328" s="328"/>
      <c r="BQ328" s="328"/>
      <c r="BR328" s="328"/>
      <c r="BS328" s="328"/>
      <c r="BT328" s="328"/>
      <c r="BU328" s="328"/>
      <c r="BV328" s="328"/>
      <c r="BW328" s="328"/>
      <c r="BX328" s="328"/>
      <c r="BY328" s="328"/>
      <c r="BZ328" s="328"/>
      <c r="CA328" s="328"/>
      <c r="CB328" s="328"/>
      <c r="CC328" s="328"/>
      <c r="CD328" s="328"/>
      <c r="CE328" s="328"/>
      <c r="CF328" s="328"/>
      <c r="CG328" s="328"/>
      <c r="CH328" s="328"/>
      <c r="CI328" s="328"/>
      <c r="CJ328" s="328"/>
      <c r="CK328" s="328"/>
      <c r="CL328" s="328"/>
      <c r="CM328" s="328"/>
      <c r="CN328" s="328"/>
      <c r="CO328" s="328"/>
      <c r="CP328" s="328"/>
      <c r="CQ328" s="328"/>
      <c r="CR328" s="328"/>
      <c r="CS328" s="328"/>
      <c r="CT328" s="328"/>
      <c r="CU328" s="328"/>
      <c r="CV328" s="328"/>
      <c r="CW328" s="164" t="e">
        <f>CX328+#REF!</f>
        <v>#REF!</v>
      </c>
      <c r="CX328" s="164">
        <v>0</v>
      </c>
      <c r="CY328" s="164"/>
      <c r="CZ328" s="164"/>
      <c r="DA328" s="164"/>
      <c r="DB328" s="164"/>
      <c r="DC328" s="164"/>
      <c r="DD328" s="164"/>
      <c r="DE328" s="164"/>
      <c r="DF328" s="164">
        <f t="shared" si="701"/>
        <v>0</v>
      </c>
      <c r="DG328" s="164">
        <f t="shared" si="709"/>
        <v>0</v>
      </c>
      <c r="DH328" s="164"/>
      <c r="DI328" s="181">
        <f t="shared" si="637"/>
        <v>0</v>
      </c>
      <c r="DJ328" s="164">
        <f>CX328</f>
        <v>0</v>
      </c>
      <c r="DK328" s="164"/>
      <c r="DL328" s="164" t="e">
        <f>DM328+#REF!</f>
        <v>#REF!</v>
      </c>
      <c r="DM328" s="164">
        <v>0</v>
      </c>
      <c r="DN328" s="164"/>
      <c r="DO328" s="164" t="e">
        <f>DP328+#REF!</f>
        <v>#REF!</v>
      </c>
      <c r="DP328" s="164">
        <v>0</v>
      </c>
      <c r="DQ328" s="164"/>
      <c r="DR328" s="164" t="e">
        <f>DS328+#REF!</f>
        <v>#REF!</v>
      </c>
      <c r="DS328" s="164">
        <f t="shared" si="710"/>
        <v>0</v>
      </c>
      <c r="DT328" s="164"/>
      <c r="DU328" s="164">
        <f t="shared" si="725"/>
        <v>0</v>
      </c>
      <c r="DV328" s="164">
        <v>0</v>
      </c>
      <c r="DW328" s="164"/>
      <c r="DX328" s="164"/>
      <c r="DY328" s="164"/>
      <c r="DZ328" s="164"/>
      <c r="EA328" s="164"/>
      <c r="EB328" s="164"/>
      <c r="EC328" s="164"/>
      <c r="ED328" s="181">
        <f t="shared" si="729"/>
        <v>0</v>
      </c>
      <c r="EE328" s="164">
        <f t="shared" si="731"/>
        <v>0</v>
      </c>
      <c r="EF328" s="164"/>
      <c r="EG328" s="181">
        <f t="shared" si="711"/>
        <v>0</v>
      </c>
      <c r="EH328" s="164">
        <v>0</v>
      </c>
      <c r="EI328" s="164"/>
      <c r="EJ328" s="164"/>
      <c r="EK328" s="164"/>
      <c r="EL328" s="164"/>
      <c r="EM328" s="164"/>
      <c r="EN328" s="164"/>
      <c r="EO328" s="164"/>
      <c r="EP328" s="164"/>
      <c r="EQ328" s="164"/>
      <c r="ER328" s="164"/>
      <c r="ES328" s="164">
        <f t="shared" si="712"/>
        <v>0</v>
      </c>
      <c r="ET328" s="164">
        <v>0</v>
      </c>
      <c r="EU328" s="164"/>
      <c r="EV328" s="164"/>
      <c r="EW328" s="164">
        <f t="shared" si="726"/>
        <v>0</v>
      </c>
      <c r="EX328" s="164">
        <v>0</v>
      </c>
      <c r="EY328" s="164"/>
      <c r="EZ328" s="181">
        <f t="shared" si="638"/>
        <v>11349.437480000001</v>
      </c>
      <c r="FA328" s="164">
        <f t="shared" si="732"/>
        <v>11349.437480000001</v>
      </c>
      <c r="FB328" s="164"/>
      <c r="FC328" s="180">
        <f t="shared" si="656"/>
        <v>11349.437480000001</v>
      </c>
      <c r="FD328" s="163">
        <f>FD329</f>
        <v>11349.437480000001</v>
      </c>
      <c r="FE328" s="163"/>
      <c r="FF328" s="163"/>
      <c r="FG328" s="163">
        <f t="shared" si="727"/>
        <v>0</v>
      </c>
      <c r="FH328" s="163">
        <f t="shared" si="728"/>
        <v>0</v>
      </c>
      <c r="FI328" s="163"/>
      <c r="FJ328" s="163"/>
      <c r="FK328" s="163"/>
      <c r="FL328" s="163"/>
      <c r="FM328" s="163"/>
      <c r="FN328" s="163"/>
      <c r="FO328" s="180">
        <f t="shared" si="713"/>
        <v>11349.437480000001</v>
      </c>
      <c r="FP328" s="163">
        <f t="shared" si="730"/>
        <v>11349.437480000001</v>
      </c>
      <c r="FQ328" s="163"/>
      <c r="FR328" s="163"/>
      <c r="FS328" s="163"/>
      <c r="FT328" s="577">
        <f t="shared" si="640"/>
        <v>0</v>
      </c>
      <c r="FU328" s="163"/>
      <c r="FV328" s="577">
        <f t="shared" si="641"/>
        <v>0</v>
      </c>
      <c r="FW328" s="164"/>
      <c r="FX328" s="577"/>
      <c r="FY328" s="164"/>
      <c r="FZ328" s="672"/>
      <c r="GA328" s="163"/>
      <c r="GB328" s="577"/>
      <c r="GC328" s="163"/>
      <c r="GD328" s="577"/>
      <c r="GE328" s="164"/>
      <c r="GF328" s="577"/>
      <c r="GG328" s="163"/>
      <c r="GH328" s="577"/>
      <c r="GI328" s="103">
        <f t="shared" si="703"/>
        <v>0</v>
      </c>
      <c r="GJ328" s="577">
        <f t="shared" si="658"/>
        <v>0</v>
      </c>
      <c r="GK328" s="163"/>
      <c r="GL328" s="577">
        <f t="shared" si="659"/>
        <v>0</v>
      </c>
      <c r="GM328" s="163"/>
      <c r="GN328" s="577"/>
      <c r="GO328" s="163"/>
      <c r="GP328" s="577"/>
      <c r="GQ328" s="164"/>
      <c r="GR328" s="164"/>
      <c r="GS328" s="164"/>
      <c r="GT328" s="164"/>
      <c r="GU328" s="181">
        <f t="shared" si="714"/>
        <v>0</v>
      </c>
      <c r="GV328" s="164">
        <v>0</v>
      </c>
      <c r="GW328" s="164"/>
      <c r="GX328" s="164"/>
      <c r="GY328" s="164"/>
      <c r="GZ328" s="164"/>
      <c r="HA328" s="164"/>
      <c r="HB328" s="164"/>
      <c r="HC328" s="164"/>
      <c r="HD328" s="164"/>
      <c r="HE328" s="164"/>
      <c r="HF328" s="164"/>
      <c r="HG328" s="181">
        <f t="shared" si="715"/>
        <v>0</v>
      </c>
      <c r="HH328" s="164">
        <v>0</v>
      </c>
      <c r="HI328" s="164"/>
      <c r="HJ328" s="164"/>
      <c r="HK328" s="181">
        <f t="shared" si="716"/>
        <v>0</v>
      </c>
      <c r="HL328" s="164">
        <v>0</v>
      </c>
      <c r="HM328" s="164"/>
      <c r="HN328" s="164"/>
      <c r="HO328" s="181">
        <f t="shared" si="717"/>
        <v>0</v>
      </c>
      <c r="HP328" s="164">
        <v>0</v>
      </c>
      <c r="HQ328" s="164"/>
      <c r="HR328" s="164"/>
      <c r="HS328" s="181">
        <f t="shared" si="718"/>
        <v>0</v>
      </c>
      <c r="HT328" s="164">
        <v>0</v>
      </c>
      <c r="HU328" s="164"/>
      <c r="HV328" s="164"/>
      <c r="HW328" s="181">
        <f t="shared" si="719"/>
        <v>0</v>
      </c>
      <c r="HX328" s="164">
        <v>0</v>
      </c>
      <c r="HY328" s="164"/>
      <c r="HZ328" s="164"/>
      <c r="IA328" s="181">
        <f t="shared" si="720"/>
        <v>0</v>
      </c>
      <c r="IB328" s="164">
        <v>0</v>
      </c>
      <c r="IC328" s="164"/>
      <c r="ID328" s="164"/>
      <c r="IE328" s="321"/>
      <c r="IF328" s="170"/>
      <c r="IG328" s="170"/>
      <c r="IH328" s="170"/>
    </row>
    <row r="329" spans="2:249" s="327" customFormat="1" ht="25.5" hidden="1" customHeight="1" x14ac:dyDescent="0.3">
      <c r="B329" s="324"/>
      <c r="C329" s="164" t="s">
        <v>172</v>
      </c>
      <c r="D329" s="328"/>
      <c r="E329" s="328"/>
      <c r="F329" s="328"/>
      <c r="G329" s="328"/>
      <c r="H329" s="328"/>
      <c r="I329" s="328"/>
      <c r="J329" s="328"/>
      <c r="K329" s="328"/>
      <c r="L329" s="328"/>
      <c r="M329" s="328"/>
      <c r="N329" s="328"/>
      <c r="O329" s="328"/>
      <c r="P329" s="328"/>
      <c r="Q329" s="328"/>
      <c r="R329" s="328"/>
      <c r="S329" s="328"/>
      <c r="T329" s="328"/>
      <c r="U329" s="328"/>
      <c r="V329" s="328"/>
      <c r="W329" s="328"/>
      <c r="X329" s="328"/>
      <c r="Y329" s="328"/>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28"/>
      <c r="AV329" s="328"/>
      <c r="AW329" s="328"/>
      <c r="AX329" s="328"/>
      <c r="AY329" s="328"/>
      <c r="AZ329" s="328"/>
      <c r="BA329" s="328"/>
      <c r="BB329" s="328"/>
      <c r="BC329" s="328"/>
      <c r="BD329" s="328"/>
      <c r="BE329" s="328"/>
      <c r="BF329" s="328"/>
      <c r="BG329" s="328"/>
      <c r="BH329" s="328"/>
      <c r="BI329" s="328"/>
      <c r="BJ329" s="328"/>
      <c r="BK329" s="328"/>
      <c r="BL329" s="328"/>
      <c r="BM329" s="328"/>
      <c r="BN329" s="328"/>
      <c r="BO329" s="328"/>
      <c r="BP329" s="328"/>
      <c r="BQ329" s="328"/>
      <c r="BR329" s="328"/>
      <c r="BS329" s="328"/>
      <c r="BT329" s="328"/>
      <c r="BU329" s="328"/>
      <c r="BV329" s="328"/>
      <c r="BW329" s="328"/>
      <c r="BX329" s="328"/>
      <c r="BY329" s="328"/>
      <c r="BZ329" s="328"/>
      <c r="CA329" s="328"/>
      <c r="CB329" s="328"/>
      <c r="CC329" s="328"/>
      <c r="CD329" s="328"/>
      <c r="CE329" s="328"/>
      <c r="CF329" s="328"/>
      <c r="CG329" s="328"/>
      <c r="CH329" s="328"/>
      <c r="CI329" s="328"/>
      <c r="CJ329" s="328"/>
      <c r="CK329" s="328"/>
      <c r="CL329" s="328"/>
      <c r="CM329" s="328"/>
      <c r="CN329" s="328"/>
      <c r="CO329" s="328"/>
      <c r="CP329" s="328"/>
      <c r="CQ329" s="328"/>
      <c r="CR329" s="328"/>
      <c r="CS329" s="328"/>
      <c r="CT329" s="328"/>
      <c r="CU329" s="328"/>
      <c r="CV329" s="328"/>
      <c r="CW329" s="164"/>
      <c r="CX329" s="164"/>
      <c r="CY329" s="164"/>
      <c r="CZ329" s="164"/>
      <c r="DA329" s="164"/>
      <c r="DB329" s="164"/>
      <c r="DC329" s="164"/>
      <c r="DD329" s="164"/>
      <c r="DE329" s="164"/>
      <c r="DF329" s="164"/>
      <c r="DG329" s="164"/>
      <c r="DH329" s="164"/>
      <c r="DI329" s="181"/>
      <c r="DJ329" s="164"/>
      <c r="DK329" s="164"/>
      <c r="DL329" s="164"/>
      <c r="DM329" s="164"/>
      <c r="DN329" s="164"/>
      <c r="DO329" s="164"/>
      <c r="DP329" s="164"/>
      <c r="DQ329" s="164"/>
      <c r="DR329" s="164"/>
      <c r="DS329" s="164"/>
      <c r="DT329" s="164"/>
      <c r="DU329" s="164"/>
      <c r="DV329" s="164"/>
      <c r="DW329" s="164"/>
      <c r="DX329" s="164"/>
      <c r="DY329" s="164"/>
      <c r="DZ329" s="164"/>
      <c r="EA329" s="164"/>
      <c r="EB329" s="164"/>
      <c r="EC329" s="164"/>
      <c r="ED329" s="181"/>
      <c r="EE329" s="164"/>
      <c r="EF329" s="164"/>
      <c r="EG329" s="181"/>
      <c r="EH329" s="164"/>
      <c r="EI329" s="164"/>
      <c r="EJ329" s="164"/>
      <c r="EK329" s="164"/>
      <c r="EL329" s="164"/>
      <c r="EM329" s="164"/>
      <c r="EN329" s="164"/>
      <c r="EO329" s="164"/>
      <c r="EP329" s="164"/>
      <c r="EQ329" s="164"/>
      <c r="ER329" s="164"/>
      <c r="ES329" s="164"/>
      <c r="ET329" s="164"/>
      <c r="EU329" s="164"/>
      <c r="EV329" s="164"/>
      <c r="EW329" s="164"/>
      <c r="EX329" s="164"/>
      <c r="EY329" s="164"/>
      <c r="EZ329" s="181"/>
      <c r="FA329" s="164"/>
      <c r="FB329" s="164"/>
      <c r="FC329" s="180">
        <f>FD329</f>
        <v>11349.437480000001</v>
      </c>
      <c r="FD329" s="163">
        <v>11349.437480000001</v>
      </c>
      <c r="FE329" s="163"/>
      <c r="FF329" s="163"/>
      <c r="FG329" s="163"/>
      <c r="FH329" s="163"/>
      <c r="FI329" s="163"/>
      <c r="FJ329" s="163"/>
      <c r="FK329" s="163"/>
      <c r="FL329" s="163"/>
      <c r="FM329" s="163"/>
      <c r="FN329" s="163"/>
      <c r="FO329" s="180"/>
      <c r="FP329" s="163"/>
      <c r="FQ329" s="163"/>
      <c r="FR329" s="163"/>
      <c r="FS329" s="163"/>
      <c r="FT329" s="577">
        <f t="shared" si="640"/>
        <v>0</v>
      </c>
      <c r="FU329" s="163"/>
      <c r="FV329" s="577">
        <f t="shared" si="641"/>
        <v>0</v>
      </c>
      <c r="FW329" s="164"/>
      <c r="FX329" s="577"/>
      <c r="FY329" s="164"/>
      <c r="FZ329" s="672"/>
      <c r="GA329" s="163"/>
      <c r="GB329" s="577"/>
      <c r="GC329" s="163"/>
      <c r="GD329" s="577"/>
      <c r="GE329" s="164"/>
      <c r="GF329" s="577"/>
      <c r="GG329" s="163"/>
      <c r="GH329" s="577"/>
      <c r="GI329" s="103">
        <f t="shared" si="703"/>
        <v>0</v>
      </c>
      <c r="GJ329" s="577">
        <f t="shared" si="658"/>
        <v>0</v>
      </c>
      <c r="GK329" s="163"/>
      <c r="GL329" s="577">
        <f t="shared" si="659"/>
        <v>0</v>
      </c>
      <c r="GM329" s="163"/>
      <c r="GN329" s="577"/>
      <c r="GO329" s="163"/>
      <c r="GP329" s="577"/>
      <c r="GQ329" s="164"/>
      <c r="GR329" s="164"/>
      <c r="GS329" s="164"/>
      <c r="GT329" s="164"/>
      <c r="GU329" s="181"/>
      <c r="GV329" s="164"/>
      <c r="GW329" s="164"/>
      <c r="GX329" s="164"/>
      <c r="GY329" s="164"/>
      <c r="GZ329" s="164"/>
      <c r="HA329" s="164"/>
      <c r="HB329" s="164"/>
      <c r="HC329" s="164"/>
      <c r="HD329" s="164"/>
      <c r="HE329" s="164"/>
      <c r="HF329" s="164"/>
      <c r="HG329" s="181"/>
      <c r="HH329" s="164"/>
      <c r="HI329" s="164"/>
      <c r="HJ329" s="164"/>
      <c r="HK329" s="181"/>
      <c r="HL329" s="164"/>
      <c r="HM329" s="164"/>
      <c r="HN329" s="164"/>
      <c r="HO329" s="181"/>
      <c r="HP329" s="164"/>
      <c r="HQ329" s="164"/>
      <c r="HR329" s="164"/>
      <c r="HS329" s="181"/>
      <c r="HT329" s="164"/>
      <c r="HU329" s="164"/>
      <c r="HV329" s="164"/>
      <c r="HW329" s="181"/>
      <c r="HX329" s="164"/>
      <c r="HY329" s="164"/>
      <c r="HZ329" s="164"/>
      <c r="IA329" s="181"/>
      <c r="IB329" s="164"/>
      <c r="IC329" s="164"/>
      <c r="ID329" s="164"/>
      <c r="IE329" s="321"/>
      <c r="IF329" s="170"/>
      <c r="IG329" s="170"/>
      <c r="IH329" s="170"/>
    </row>
    <row r="330" spans="2:249" s="327" customFormat="1" ht="57" hidden="1" customHeight="1" x14ac:dyDescent="0.3">
      <c r="B330" s="324"/>
      <c r="C330" s="266" t="s">
        <v>522</v>
      </c>
      <c r="D330" s="328"/>
      <c r="E330" s="328"/>
      <c r="F330" s="328"/>
      <c r="G330" s="328"/>
      <c r="H330" s="328"/>
      <c r="I330" s="328"/>
      <c r="J330" s="328"/>
      <c r="K330" s="328"/>
      <c r="L330" s="328"/>
      <c r="M330" s="328"/>
      <c r="N330" s="328"/>
      <c r="O330" s="328"/>
      <c r="P330" s="328"/>
      <c r="Q330" s="328"/>
      <c r="R330" s="328"/>
      <c r="S330" s="328"/>
      <c r="T330" s="328"/>
      <c r="U330" s="328"/>
      <c r="V330" s="328"/>
      <c r="W330" s="328"/>
      <c r="X330" s="328"/>
      <c r="Y330" s="328"/>
      <c r="Z330" s="328"/>
      <c r="AA330" s="328"/>
      <c r="AB330" s="328"/>
      <c r="AC330" s="328"/>
      <c r="AD330" s="328"/>
      <c r="AE330" s="328"/>
      <c r="AF330" s="328"/>
      <c r="AG330" s="328"/>
      <c r="AH330" s="328"/>
      <c r="AI330" s="328"/>
      <c r="AJ330" s="328"/>
      <c r="AK330" s="328"/>
      <c r="AL330" s="328"/>
      <c r="AM330" s="328"/>
      <c r="AN330" s="328"/>
      <c r="AO330" s="328"/>
      <c r="AP330" s="328"/>
      <c r="AQ330" s="328"/>
      <c r="AR330" s="328"/>
      <c r="AS330" s="328"/>
      <c r="AT330" s="328"/>
      <c r="AU330" s="328"/>
      <c r="AV330" s="328"/>
      <c r="AW330" s="328"/>
      <c r="AX330" s="328"/>
      <c r="AY330" s="328"/>
      <c r="AZ330" s="328"/>
      <c r="BA330" s="328"/>
      <c r="BB330" s="328"/>
      <c r="BC330" s="328"/>
      <c r="BD330" s="328"/>
      <c r="BE330" s="328"/>
      <c r="BF330" s="328"/>
      <c r="BG330" s="328"/>
      <c r="BH330" s="328"/>
      <c r="BI330" s="328"/>
      <c r="BJ330" s="328"/>
      <c r="BK330" s="328"/>
      <c r="BL330" s="328"/>
      <c r="BM330" s="328"/>
      <c r="BN330" s="328"/>
      <c r="BO330" s="328"/>
      <c r="BP330" s="328"/>
      <c r="BQ330" s="328"/>
      <c r="BR330" s="328"/>
      <c r="BS330" s="328"/>
      <c r="BT330" s="328"/>
      <c r="BU330" s="328"/>
      <c r="BV330" s="328"/>
      <c r="BW330" s="328"/>
      <c r="BX330" s="328"/>
      <c r="BY330" s="328"/>
      <c r="BZ330" s="328"/>
      <c r="CA330" s="328"/>
      <c r="CB330" s="328"/>
      <c r="CC330" s="328"/>
      <c r="CD330" s="328"/>
      <c r="CE330" s="328"/>
      <c r="CF330" s="328"/>
      <c r="CG330" s="328"/>
      <c r="CH330" s="328"/>
      <c r="CI330" s="328"/>
      <c r="CJ330" s="328"/>
      <c r="CK330" s="328"/>
      <c r="CL330" s="328"/>
      <c r="CM330" s="328"/>
      <c r="CN330" s="328"/>
      <c r="CO330" s="328"/>
      <c r="CP330" s="328"/>
      <c r="CQ330" s="328"/>
      <c r="CR330" s="328"/>
      <c r="CS330" s="328"/>
      <c r="CT330" s="328"/>
      <c r="CU330" s="328"/>
      <c r="CV330" s="328"/>
      <c r="CW330" s="164" t="e">
        <f>CX330+#REF!</f>
        <v>#REF!</v>
      </c>
      <c r="CX330" s="164">
        <v>0</v>
      </c>
      <c r="CY330" s="164"/>
      <c r="CZ330" s="164"/>
      <c r="DA330" s="164"/>
      <c r="DB330" s="164"/>
      <c r="DC330" s="164"/>
      <c r="DD330" s="164"/>
      <c r="DE330" s="164"/>
      <c r="DF330" s="164">
        <f t="shared" ref="DF330" si="733">DG330</f>
        <v>0</v>
      </c>
      <c r="DG330" s="164">
        <f t="shared" ref="DG330" si="734">DJ330-CX330</f>
        <v>0</v>
      </c>
      <c r="DH330" s="164"/>
      <c r="DI330" s="181">
        <f t="shared" ref="DI330" si="735">DJ330</f>
        <v>0</v>
      </c>
      <c r="DJ330" s="164">
        <f>CX330</f>
        <v>0</v>
      </c>
      <c r="DK330" s="164"/>
      <c r="DL330" s="164" t="e">
        <f>DM330+#REF!</f>
        <v>#REF!</v>
      </c>
      <c r="DM330" s="164">
        <v>0</v>
      </c>
      <c r="DN330" s="164"/>
      <c r="DO330" s="164" t="e">
        <f>DP330+#REF!</f>
        <v>#REF!</v>
      </c>
      <c r="DP330" s="164">
        <v>0</v>
      </c>
      <c r="DQ330" s="164"/>
      <c r="DR330" s="164" t="e">
        <f>DS330+#REF!</f>
        <v>#REF!</v>
      </c>
      <c r="DS330" s="164">
        <f t="shared" ref="DS330" si="736">DJ330-DM330-DP330</f>
        <v>0</v>
      </c>
      <c r="DT330" s="164"/>
      <c r="DU330" s="164">
        <f t="shared" ref="DU330" si="737">DV330+DW330</f>
        <v>0</v>
      </c>
      <c r="DV330" s="164">
        <v>0</v>
      </c>
      <c r="DW330" s="164"/>
      <c r="DX330" s="164"/>
      <c r="DY330" s="164"/>
      <c r="DZ330" s="164"/>
      <c r="EA330" s="164"/>
      <c r="EB330" s="164"/>
      <c r="EC330" s="164"/>
      <c r="ED330" s="181">
        <f t="shared" ref="ED330" si="738">EE330</f>
        <v>0</v>
      </c>
      <c r="EE330" s="164">
        <f t="shared" ref="EE330" si="739">EH330-DV330</f>
        <v>0</v>
      </c>
      <c r="EF330" s="164"/>
      <c r="EG330" s="181">
        <f t="shared" ref="EG330" si="740">EH330</f>
        <v>0</v>
      </c>
      <c r="EH330" s="164">
        <v>0</v>
      </c>
      <c r="EI330" s="164"/>
      <c r="EJ330" s="164"/>
      <c r="EK330" s="164"/>
      <c r="EL330" s="164"/>
      <c r="EM330" s="164"/>
      <c r="EN330" s="164"/>
      <c r="EO330" s="164"/>
      <c r="EP330" s="164"/>
      <c r="EQ330" s="164"/>
      <c r="ER330" s="164"/>
      <c r="ES330" s="164">
        <f t="shared" ref="ES330" si="741">ET330</f>
        <v>0</v>
      </c>
      <c r="ET330" s="164">
        <v>0</v>
      </c>
      <c r="EU330" s="164"/>
      <c r="EV330" s="164"/>
      <c r="EW330" s="164">
        <f t="shared" ref="EW330" si="742">EX330</f>
        <v>0</v>
      </c>
      <c r="EX330" s="164">
        <v>0</v>
      </c>
      <c r="EY330" s="164"/>
      <c r="EZ330" s="181">
        <f t="shared" ref="EZ330" si="743">FA330</f>
        <v>13034.2636</v>
      </c>
      <c r="FA330" s="164">
        <f t="shared" ref="FA330" si="744">FD330-EX330</f>
        <v>13034.2636</v>
      </c>
      <c r="FB330" s="164"/>
      <c r="FC330" s="180">
        <f t="shared" ref="FC330" si="745">FD330</f>
        <v>13034.2636</v>
      </c>
      <c r="FD330" s="163">
        <f>FD331</f>
        <v>13034.2636</v>
      </c>
      <c r="FE330" s="163"/>
      <c r="FF330" s="163"/>
      <c r="FG330" s="163"/>
      <c r="FH330" s="163"/>
      <c r="FI330" s="163"/>
      <c r="FJ330" s="163"/>
      <c r="FK330" s="163"/>
      <c r="FL330" s="163"/>
      <c r="FM330" s="163"/>
      <c r="FN330" s="163"/>
      <c r="FO330" s="180"/>
      <c r="FP330" s="163"/>
      <c r="FQ330" s="163"/>
      <c r="FR330" s="163"/>
      <c r="FS330" s="163"/>
      <c r="FT330" s="577">
        <f t="shared" si="640"/>
        <v>0</v>
      </c>
      <c r="FU330" s="163"/>
      <c r="FV330" s="577">
        <f t="shared" si="641"/>
        <v>0</v>
      </c>
      <c r="FW330" s="164"/>
      <c r="FX330" s="577"/>
      <c r="FY330" s="164"/>
      <c r="FZ330" s="672"/>
      <c r="GA330" s="163"/>
      <c r="GB330" s="577"/>
      <c r="GC330" s="163"/>
      <c r="GD330" s="577"/>
      <c r="GE330" s="164"/>
      <c r="GF330" s="577"/>
      <c r="GG330" s="163"/>
      <c r="GH330" s="577"/>
      <c r="GI330" s="103">
        <f t="shared" si="703"/>
        <v>13034.2636</v>
      </c>
      <c r="GJ330" s="577">
        <f t="shared" si="658"/>
        <v>1</v>
      </c>
      <c r="GK330" s="163">
        <f>GK331</f>
        <v>13034.2636</v>
      </c>
      <c r="GL330" s="577">
        <f t="shared" si="659"/>
        <v>1</v>
      </c>
      <c r="GM330" s="163"/>
      <c r="GN330" s="577"/>
      <c r="GO330" s="163"/>
      <c r="GP330" s="577"/>
      <c r="GQ330" s="164"/>
      <c r="GR330" s="164"/>
      <c r="GS330" s="164"/>
      <c r="GT330" s="164"/>
      <c r="GU330" s="181"/>
      <c r="GV330" s="164"/>
      <c r="GW330" s="164"/>
      <c r="GX330" s="164"/>
      <c r="GY330" s="164"/>
      <c r="GZ330" s="164"/>
      <c r="HA330" s="164"/>
      <c r="HB330" s="164"/>
      <c r="HC330" s="164"/>
      <c r="HD330" s="164"/>
      <c r="HE330" s="164"/>
      <c r="HF330" s="164"/>
      <c r="HG330" s="181"/>
      <c r="HH330" s="164"/>
      <c r="HI330" s="164"/>
      <c r="HJ330" s="164"/>
      <c r="HK330" s="181"/>
      <c r="HL330" s="164"/>
      <c r="HM330" s="164"/>
      <c r="HN330" s="164"/>
      <c r="HO330" s="181"/>
      <c r="HP330" s="164"/>
      <c r="HQ330" s="164"/>
      <c r="HR330" s="164"/>
      <c r="HS330" s="181"/>
      <c r="HT330" s="164"/>
      <c r="HU330" s="164"/>
      <c r="HV330" s="164"/>
      <c r="HW330" s="181"/>
      <c r="HX330" s="164"/>
      <c r="HY330" s="164"/>
      <c r="HZ330" s="164"/>
      <c r="IA330" s="181"/>
      <c r="IB330" s="164"/>
      <c r="IC330" s="164"/>
      <c r="ID330" s="164"/>
      <c r="IE330" s="321"/>
      <c r="IF330" s="170"/>
      <c r="IG330" s="170"/>
      <c r="IH330" s="170"/>
    </row>
    <row r="331" spans="2:249" s="327" customFormat="1" ht="25.5" hidden="1" customHeight="1" x14ac:dyDescent="0.3">
      <c r="B331" s="324"/>
      <c r="C331" s="164" t="s">
        <v>330</v>
      </c>
      <c r="D331" s="328"/>
      <c r="E331" s="328"/>
      <c r="F331" s="328"/>
      <c r="G331" s="328"/>
      <c r="H331" s="328"/>
      <c r="I331" s="328"/>
      <c r="J331" s="328"/>
      <c r="K331" s="328"/>
      <c r="L331" s="328"/>
      <c r="M331" s="328"/>
      <c r="N331" s="328"/>
      <c r="O331" s="328"/>
      <c r="P331" s="328"/>
      <c r="Q331" s="328"/>
      <c r="R331" s="328"/>
      <c r="S331" s="328"/>
      <c r="T331" s="328"/>
      <c r="U331" s="328"/>
      <c r="V331" s="328"/>
      <c r="W331" s="328"/>
      <c r="X331" s="328"/>
      <c r="Y331" s="328"/>
      <c r="Z331" s="328"/>
      <c r="AA331" s="328"/>
      <c r="AB331" s="328"/>
      <c r="AC331" s="328"/>
      <c r="AD331" s="328"/>
      <c r="AE331" s="328"/>
      <c r="AF331" s="328"/>
      <c r="AG331" s="328"/>
      <c r="AH331" s="328"/>
      <c r="AI331" s="328"/>
      <c r="AJ331" s="328"/>
      <c r="AK331" s="328"/>
      <c r="AL331" s="328"/>
      <c r="AM331" s="328"/>
      <c r="AN331" s="328"/>
      <c r="AO331" s="328"/>
      <c r="AP331" s="328"/>
      <c r="AQ331" s="328"/>
      <c r="AR331" s="328"/>
      <c r="AS331" s="328"/>
      <c r="AT331" s="328"/>
      <c r="AU331" s="328"/>
      <c r="AV331" s="328"/>
      <c r="AW331" s="328"/>
      <c r="AX331" s="328"/>
      <c r="AY331" s="328"/>
      <c r="AZ331" s="328"/>
      <c r="BA331" s="328"/>
      <c r="BB331" s="328"/>
      <c r="BC331" s="328"/>
      <c r="BD331" s="328"/>
      <c r="BE331" s="328"/>
      <c r="BF331" s="328"/>
      <c r="BG331" s="328"/>
      <c r="BH331" s="328"/>
      <c r="BI331" s="328"/>
      <c r="BJ331" s="328"/>
      <c r="BK331" s="328"/>
      <c r="BL331" s="328"/>
      <c r="BM331" s="328"/>
      <c r="BN331" s="328"/>
      <c r="BO331" s="328"/>
      <c r="BP331" s="328"/>
      <c r="BQ331" s="328"/>
      <c r="BR331" s="328"/>
      <c r="BS331" s="328"/>
      <c r="BT331" s="328"/>
      <c r="BU331" s="328"/>
      <c r="BV331" s="328"/>
      <c r="BW331" s="328"/>
      <c r="BX331" s="328"/>
      <c r="BY331" s="328"/>
      <c r="BZ331" s="328"/>
      <c r="CA331" s="328"/>
      <c r="CB331" s="328"/>
      <c r="CC331" s="328"/>
      <c r="CD331" s="328"/>
      <c r="CE331" s="328"/>
      <c r="CF331" s="328"/>
      <c r="CG331" s="328"/>
      <c r="CH331" s="328"/>
      <c r="CI331" s="328"/>
      <c r="CJ331" s="328"/>
      <c r="CK331" s="328"/>
      <c r="CL331" s="328"/>
      <c r="CM331" s="328"/>
      <c r="CN331" s="328"/>
      <c r="CO331" s="328"/>
      <c r="CP331" s="328"/>
      <c r="CQ331" s="328"/>
      <c r="CR331" s="328"/>
      <c r="CS331" s="328"/>
      <c r="CT331" s="328"/>
      <c r="CU331" s="328"/>
      <c r="CV331" s="328"/>
      <c r="CW331" s="164"/>
      <c r="CX331" s="164"/>
      <c r="CY331" s="164"/>
      <c r="CZ331" s="164"/>
      <c r="DA331" s="164"/>
      <c r="DB331" s="164"/>
      <c r="DC331" s="164"/>
      <c r="DD331" s="164"/>
      <c r="DE331" s="164"/>
      <c r="DF331" s="164"/>
      <c r="DG331" s="164"/>
      <c r="DH331" s="164"/>
      <c r="DI331" s="181"/>
      <c r="DJ331" s="164"/>
      <c r="DK331" s="164"/>
      <c r="DL331" s="164"/>
      <c r="DM331" s="164"/>
      <c r="DN331" s="164"/>
      <c r="DO331" s="164"/>
      <c r="DP331" s="164"/>
      <c r="DQ331" s="164"/>
      <c r="DR331" s="164"/>
      <c r="DS331" s="164"/>
      <c r="DT331" s="164"/>
      <c r="DU331" s="164"/>
      <c r="DV331" s="164"/>
      <c r="DW331" s="164"/>
      <c r="DX331" s="164"/>
      <c r="DY331" s="164"/>
      <c r="DZ331" s="164"/>
      <c r="EA331" s="164"/>
      <c r="EB331" s="164"/>
      <c r="EC331" s="164"/>
      <c r="ED331" s="181"/>
      <c r="EE331" s="164"/>
      <c r="EF331" s="164"/>
      <c r="EG331" s="181"/>
      <c r="EH331" s="164"/>
      <c r="EI331" s="164"/>
      <c r="EJ331" s="164"/>
      <c r="EK331" s="164"/>
      <c r="EL331" s="164"/>
      <c r="EM331" s="164"/>
      <c r="EN331" s="164"/>
      <c r="EO331" s="164"/>
      <c r="EP331" s="164"/>
      <c r="EQ331" s="164"/>
      <c r="ER331" s="164"/>
      <c r="ES331" s="164"/>
      <c r="ET331" s="164"/>
      <c r="EU331" s="164"/>
      <c r="EV331" s="164"/>
      <c r="EW331" s="164"/>
      <c r="EX331" s="164"/>
      <c r="EY331" s="164"/>
      <c r="EZ331" s="181"/>
      <c r="FA331" s="164"/>
      <c r="FB331" s="164"/>
      <c r="FC331" s="180">
        <f>FD331</f>
        <v>13034.2636</v>
      </c>
      <c r="FD331" s="163">
        <v>13034.2636</v>
      </c>
      <c r="FE331" s="163"/>
      <c r="FF331" s="163"/>
      <c r="FG331" s="163"/>
      <c r="FH331" s="163"/>
      <c r="FI331" s="163"/>
      <c r="FJ331" s="163"/>
      <c r="FK331" s="163"/>
      <c r="FL331" s="163"/>
      <c r="FM331" s="163"/>
      <c r="FN331" s="163"/>
      <c r="FO331" s="180"/>
      <c r="FP331" s="163"/>
      <c r="FQ331" s="163"/>
      <c r="FR331" s="163"/>
      <c r="FS331" s="163"/>
      <c r="FT331" s="577">
        <f t="shared" si="640"/>
        <v>0</v>
      </c>
      <c r="FU331" s="163"/>
      <c r="FV331" s="577">
        <f t="shared" si="641"/>
        <v>0</v>
      </c>
      <c r="FW331" s="164"/>
      <c r="FX331" s="577"/>
      <c r="FY331" s="164"/>
      <c r="FZ331" s="672"/>
      <c r="GA331" s="163"/>
      <c r="GB331" s="577"/>
      <c r="GC331" s="163"/>
      <c r="GD331" s="577"/>
      <c r="GE331" s="164"/>
      <c r="GF331" s="577"/>
      <c r="GG331" s="163"/>
      <c r="GH331" s="577"/>
      <c r="GI331" s="103">
        <f t="shared" si="703"/>
        <v>13034.2636</v>
      </c>
      <c r="GJ331" s="577">
        <f t="shared" si="658"/>
        <v>1</v>
      </c>
      <c r="GK331" s="163">
        <v>13034.2636</v>
      </c>
      <c r="GL331" s="577">
        <f t="shared" si="659"/>
        <v>1</v>
      </c>
      <c r="GM331" s="163"/>
      <c r="GN331" s="577"/>
      <c r="GO331" s="163"/>
      <c r="GP331" s="577"/>
      <c r="GQ331" s="164"/>
      <c r="GR331" s="164"/>
      <c r="GS331" s="164"/>
      <c r="GT331" s="164"/>
      <c r="GU331" s="181"/>
      <c r="GV331" s="164"/>
      <c r="GW331" s="164"/>
      <c r="GX331" s="164"/>
      <c r="GY331" s="164"/>
      <c r="GZ331" s="164"/>
      <c r="HA331" s="164"/>
      <c r="HB331" s="164"/>
      <c r="HC331" s="164"/>
      <c r="HD331" s="164"/>
      <c r="HE331" s="164"/>
      <c r="HF331" s="164"/>
      <c r="HG331" s="181"/>
      <c r="HH331" s="164"/>
      <c r="HI331" s="164"/>
      <c r="HJ331" s="164"/>
      <c r="HK331" s="181"/>
      <c r="HL331" s="164"/>
      <c r="HM331" s="164"/>
      <c r="HN331" s="164"/>
      <c r="HO331" s="181"/>
      <c r="HP331" s="164"/>
      <c r="HQ331" s="164"/>
      <c r="HR331" s="164"/>
      <c r="HS331" s="181"/>
      <c r="HT331" s="164"/>
      <c r="HU331" s="164"/>
      <c r="HV331" s="164"/>
      <c r="HW331" s="181"/>
      <c r="HX331" s="164"/>
      <c r="HY331" s="164"/>
      <c r="HZ331" s="164"/>
      <c r="IA331" s="181"/>
      <c r="IB331" s="164"/>
      <c r="IC331" s="164"/>
      <c r="ID331" s="164"/>
      <c r="IE331" s="321"/>
      <c r="IF331" s="170"/>
      <c r="IG331" s="170"/>
      <c r="IH331" s="170"/>
    </row>
    <row r="332" spans="2:249" s="329" customFormat="1" ht="188.25" customHeight="1" x14ac:dyDescent="0.25">
      <c r="B332" s="241" t="s">
        <v>106</v>
      </c>
      <c r="C332" s="252" t="s">
        <v>410</v>
      </c>
      <c r="D332" s="325"/>
      <c r="E332" s="181"/>
      <c r="F332" s="181"/>
      <c r="G332" s="181"/>
      <c r="H332" s="181"/>
      <c r="I332" s="189"/>
      <c r="J332" s="189"/>
      <c r="K332" s="181"/>
      <c r="L332" s="181"/>
      <c r="M332" s="181"/>
      <c r="N332" s="181"/>
      <c r="O332" s="189"/>
      <c r="P332" s="189"/>
      <c r="Q332" s="181"/>
      <c r="R332" s="181"/>
      <c r="S332" s="181"/>
      <c r="T332" s="181"/>
      <c r="U332" s="181"/>
      <c r="V332" s="181"/>
      <c r="W332" s="181"/>
      <c r="X332" s="189"/>
      <c r="Y332" s="189"/>
      <c r="Z332" s="181"/>
      <c r="AA332" s="181"/>
      <c r="AB332" s="181"/>
      <c r="AC332" s="181"/>
      <c r="AD332" s="181"/>
      <c r="AE332" s="181"/>
      <c r="AF332" s="181"/>
      <c r="AG332" s="181"/>
      <c r="AH332" s="181"/>
      <c r="AI332" s="181"/>
      <c r="AJ332" s="181"/>
      <c r="AK332" s="181"/>
      <c r="AL332" s="181"/>
      <c r="AM332" s="190"/>
      <c r="AN332" s="190"/>
      <c r="AO332" s="182"/>
      <c r="AP332" s="190"/>
      <c r="AQ332" s="190"/>
      <c r="AR332" s="182"/>
      <c r="AS332" s="181"/>
      <c r="AT332" s="181"/>
      <c r="AU332" s="181"/>
      <c r="AV332" s="181"/>
      <c r="AW332" s="189"/>
      <c r="AX332" s="189"/>
      <c r="AY332" s="181"/>
      <c r="AZ332" s="181"/>
      <c r="BA332" s="181"/>
      <c r="BB332" s="181"/>
      <c r="BC332" s="181"/>
      <c r="BD332" s="181"/>
      <c r="BE332" s="181"/>
      <c r="BF332" s="189"/>
      <c r="BG332" s="189"/>
      <c r="BH332" s="181"/>
      <c r="BI332" s="181"/>
      <c r="BJ332" s="181"/>
      <c r="BK332" s="182"/>
      <c r="BL332" s="181"/>
      <c r="BM332" s="181"/>
      <c r="BN332" s="181"/>
      <c r="BO332" s="181"/>
      <c r="BP332" s="181"/>
      <c r="BQ332" s="181"/>
      <c r="BR332" s="181"/>
      <c r="BS332" s="181"/>
      <c r="BT332" s="181"/>
      <c r="BU332" s="181"/>
      <c r="BV332" s="181"/>
      <c r="BW332" s="181"/>
      <c r="BX332" s="181"/>
      <c r="BY332" s="181"/>
      <c r="BZ332" s="189"/>
      <c r="CA332" s="189"/>
      <c r="CB332" s="181"/>
      <c r="CC332" s="181"/>
      <c r="CD332" s="181"/>
      <c r="CE332" s="182"/>
      <c r="CF332" s="181"/>
      <c r="CG332" s="181"/>
      <c r="CH332" s="181"/>
      <c r="CI332" s="181"/>
      <c r="CJ332" s="181"/>
      <c r="CK332" s="181"/>
      <c r="CL332" s="189"/>
      <c r="CM332" s="189"/>
      <c r="CN332" s="181"/>
      <c r="CO332" s="189"/>
      <c r="CP332" s="189"/>
      <c r="CQ332" s="181"/>
      <c r="CR332" s="181"/>
      <c r="CS332" s="181"/>
      <c r="CT332" s="181"/>
      <c r="CU332" s="181"/>
      <c r="CV332" s="181"/>
      <c r="CW332" s="181">
        <v>0</v>
      </c>
      <c r="CX332" s="181">
        <v>0</v>
      </c>
      <c r="CY332" s="181"/>
      <c r="CZ332" s="181"/>
      <c r="DA332" s="181"/>
      <c r="DB332" s="181"/>
      <c r="DC332" s="181"/>
      <c r="DD332" s="181"/>
      <c r="DE332" s="181"/>
      <c r="DF332" s="181">
        <f>DG332+DH332</f>
        <v>125460.42945000001</v>
      </c>
      <c r="DG332" s="181">
        <f>DJ332</f>
        <v>125460.42945000001</v>
      </c>
      <c r="DH332" s="181">
        <v>0</v>
      </c>
      <c r="DI332" s="181">
        <f t="shared" si="637"/>
        <v>125460.42945000001</v>
      </c>
      <c r="DJ332" s="181">
        <f>173759.64485-DJ346</f>
        <v>125460.42945000001</v>
      </c>
      <c r="DK332" s="181">
        <v>0</v>
      </c>
      <c r="DL332" s="181"/>
      <c r="DM332" s="181"/>
      <c r="DN332" s="181"/>
      <c r="DO332" s="181"/>
      <c r="DP332" s="181"/>
      <c r="DQ332" s="181"/>
      <c r="DR332" s="181"/>
      <c r="DS332" s="181"/>
      <c r="DT332" s="181"/>
      <c r="DU332" s="181">
        <v>0</v>
      </c>
      <c r="DV332" s="181">
        <v>0</v>
      </c>
      <c r="DW332" s="181">
        <v>0</v>
      </c>
      <c r="DX332" s="181"/>
      <c r="DY332" s="181"/>
      <c r="DZ332" s="181"/>
      <c r="EA332" s="181"/>
      <c r="EB332" s="181"/>
      <c r="EC332" s="181"/>
      <c r="ED332" s="181" t="e">
        <f>EE332+#REF!</f>
        <v>#REF!</v>
      </c>
      <c r="EE332" s="181">
        <f>EH332</f>
        <v>0</v>
      </c>
      <c r="EF332" s="181">
        <v>0</v>
      </c>
      <c r="EG332" s="181">
        <f>EI332</f>
        <v>541515.99951999995</v>
      </c>
      <c r="EH332" s="181">
        <v>0</v>
      </c>
      <c r="EI332" s="181">
        <v>541515.99951999995</v>
      </c>
      <c r="EJ332" s="181"/>
      <c r="EK332" s="181">
        <f>EM332</f>
        <v>-742428.76911999995</v>
      </c>
      <c r="EL332" s="181"/>
      <c r="EM332" s="181">
        <f>EU332-EI332</f>
        <v>-742428.76911999995</v>
      </c>
      <c r="EN332" s="181"/>
      <c r="EO332" s="181">
        <f>EQ332</f>
        <v>0</v>
      </c>
      <c r="EP332" s="181"/>
      <c r="EQ332" s="181"/>
      <c r="ER332" s="181"/>
      <c r="ES332" s="181">
        <f>EG332+EK332</f>
        <v>-200912.7696</v>
      </c>
      <c r="ET332" s="181">
        <v>0</v>
      </c>
      <c r="EU332" s="181">
        <f>FQ332-EI332</f>
        <v>-200912.7696</v>
      </c>
      <c r="EV332" s="181"/>
      <c r="EW332" s="181">
        <v>0</v>
      </c>
      <c r="EX332" s="181">
        <v>0</v>
      </c>
      <c r="EY332" s="181">
        <v>0</v>
      </c>
      <c r="EZ332" s="181">
        <f t="shared" si="638"/>
        <v>0</v>
      </c>
      <c r="FA332" s="181">
        <f>FD332</f>
        <v>0</v>
      </c>
      <c r="FB332" s="181">
        <v>0</v>
      </c>
      <c r="FC332" s="180">
        <f>FD332+FE332+FF332</f>
        <v>340059.61471999995</v>
      </c>
      <c r="FD332" s="180">
        <v>0</v>
      </c>
      <c r="FE332" s="180">
        <f>SUM(FE333:FE345)</f>
        <v>340059.61471999995</v>
      </c>
      <c r="FF332" s="180"/>
      <c r="FG332" s="180">
        <f>FI332</f>
        <v>543.61520000000019</v>
      </c>
      <c r="FH332" s="180"/>
      <c r="FI332" s="180">
        <f>FQ332-FE332</f>
        <v>543.61520000000019</v>
      </c>
      <c r="FJ332" s="180"/>
      <c r="FK332" s="180">
        <f>FM332</f>
        <v>0</v>
      </c>
      <c r="FL332" s="180"/>
      <c r="FM332" s="180"/>
      <c r="FN332" s="180"/>
      <c r="FO332" s="180">
        <f>FC332+FG332</f>
        <v>340603.22991999995</v>
      </c>
      <c r="FP332" s="180">
        <v>0</v>
      </c>
      <c r="FQ332" s="180">
        <f>FE332+543.6152</f>
        <v>340603.22991999995</v>
      </c>
      <c r="FR332" s="180"/>
      <c r="FS332" s="180">
        <f>FW332</f>
        <v>255991.56257999997</v>
      </c>
      <c r="FT332" s="577">
        <f t="shared" si="640"/>
        <v>0.75278436926648762</v>
      </c>
      <c r="FU332" s="180">
        <v>0</v>
      </c>
      <c r="FV332" s="577">
        <v>0</v>
      </c>
      <c r="FW332" s="180">
        <f>SUM(FW333:FW345)</f>
        <v>255991.56257999997</v>
      </c>
      <c r="FX332" s="575">
        <f>FW332/FE332</f>
        <v>0.75278436926648762</v>
      </c>
      <c r="FY332" s="181"/>
      <c r="FZ332" s="672"/>
      <c r="GA332" s="180">
        <f>GE332</f>
        <v>213356.75091</v>
      </c>
      <c r="GB332" s="577">
        <f>GA332/FC332</f>
        <v>0.62740984719892356</v>
      </c>
      <c r="GC332" s="180">
        <v>0</v>
      </c>
      <c r="GD332" s="577">
        <v>0</v>
      </c>
      <c r="GE332" s="181">
        <f>SUM(GE333:GE345)</f>
        <v>213356.75091</v>
      </c>
      <c r="GF332" s="577">
        <f>GE332/FC332</f>
        <v>0.62740984719892356</v>
      </c>
      <c r="GG332" s="180"/>
      <c r="GH332" s="577"/>
      <c r="GI332" s="180">
        <f>GM332</f>
        <v>274975.28583000001</v>
      </c>
      <c r="GJ332" s="577">
        <f t="shared" si="658"/>
        <v>0.80860906125654053</v>
      </c>
      <c r="GK332" s="180">
        <v>0</v>
      </c>
      <c r="GL332" s="577">
        <v>0</v>
      </c>
      <c r="GM332" s="180">
        <f>SUM(GM333:GM345)</f>
        <v>274975.28583000001</v>
      </c>
      <c r="GN332" s="577">
        <f>GM332/FE332</f>
        <v>0.80860906125654053</v>
      </c>
      <c r="GO332" s="180"/>
      <c r="GP332" s="577"/>
      <c r="GQ332" s="181"/>
      <c r="GR332" s="181"/>
      <c r="GS332" s="181"/>
      <c r="GT332" s="181"/>
      <c r="GU332" s="181">
        <f>GV332+GW332+GX332</f>
        <v>581220.99664000003</v>
      </c>
      <c r="GV332" s="181"/>
      <c r="GW332" s="181">
        <v>581220.99664000003</v>
      </c>
      <c r="GX332" s="181"/>
      <c r="GY332" s="181"/>
      <c r="GZ332" s="181"/>
      <c r="HA332" s="181"/>
      <c r="HB332" s="181"/>
      <c r="HC332" s="181"/>
      <c r="HD332" s="181"/>
      <c r="HE332" s="181"/>
      <c r="HF332" s="181"/>
      <c r="HG332" s="181">
        <f>HI332</f>
        <v>0</v>
      </c>
      <c r="HH332" s="181"/>
      <c r="HI332" s="181"/>
      <c r="HJ332" s="181"/>
      <c r="HK332" s="181">
        <f>HM332</f>
        <v>0</v>
      </c>
      <c r="HL332" s="181"/>
      <c r="HM332" s="181">
        <f>HQ332-GW332</f>
        <v>0</v>
      </c>
      <c r="HN332" s="181"/>
      <c r="HO332" s="181">
        <f>HQ332</f>
        <v>581220.99664000003</v>
      </c>
      <c r="HP332" s="181"/>
      <c r="HQ332" s="181">
        <f>GW332</f>
        <v>581220.99664000003</v>
      </c>
      <c r="HR332" s="181"/>
      <c r="HS332" s="181">
        <f>HT332+HU332+HV332</f>
        <v>776975.60967999999</v>
      </c>
      <c r="HT332" s="181"/>
      <c r="HU332" s="181">
        <f>'[1]2021_2023 Свод'!$GO$280</f>
        <v>776975.60967999999</v>
      </c>
      <c r="HV332" s="181"/>
      <c r="HW332" s="181">
        <f>HY332</f>
        <v>0</v>
      </c>
      <c r="HX332" s="181"/>
      <c r="HY332" s="181">
        <f>IC332-HU332</f>
        <v>0</v>
      </c>
      <c r="HZ332" s="181"/>
      <c r="IA332" s="181">
        <f>IB332+IC332+ID332</f>
        <v>776975.60967999999</v>
      </c>
      <c r="IB332" s="181"/>
      <c r="IC332" s="181">
        <f>HU332</f>
        <v>776975.60967999999</v>
      </c>
      <c r="ID332" s="181"/>
      <c r="IE332" s="321"/>
      <c r="IF332" s="183"/>
      <c r="IG332" s="183"/>
      <c r="IH332" s="183"/>
      <c r="II332" s="251"/>
      <c r="IJ332" s="251"/>
      <c r="IK332" s="251"/>
      <c r="IL332" s="251"/>
      <c r="IM332" s="251"/>
      <c r="IN332" s="251"/>
      <c r="IO332" s="251"/>
    </row>
    <row r="333" spans="2:249" s="329" customFormat="1" ht="49.5" hidden="1" customHeight="1" x14ac:dyDescent="0.25">
      <c r="B333" s="241"/>
      <c r="C333" s="172" t="s">
        <v>470</v>
      </c>
      <c r="D333" s="325"/>
      <c r="E333" s="181"/>
      <c r="F333" s="181"/>
      <c r="G333" s="181"/>
      <c r="H333" s="181"/>
      <c r="I333" s="189"/>
      <c r="J333" s="189"/>
      <c r="K333" s="181"/>
      <c r="L333" s="181"/>
      <c r="M333" s="181"/>
      <c r="N333" s="181"/>
      <c r="O333" s="189"/>
      <c r="P333" s="189"/>
      <c r="Q333" s="181"/>
      <c r="R333" s="181"/>
      <c r="S333" s="181"/>
      <c r="T333" s="181"/>
      <c r="U333" s="181"/>
      <c r="V333" s="181"/>
      <c r="W333" s="181"/>
      <c r="X333" s="189"/>
      <c r="Y333" s="189"/>
      <c r="Z333" s="181"/>
      <c r="AA333" s="181"/>
      <c r="AB333" s="181"/>
      <c r="AC333" s="181"/>
      <c r="AD333" s="181"/>
      <c r="AE333" s="181"/>
      <c r="AF333" s="181"/>
      <c r="AG333" s="181"/>
      <c r="AH333" s="181"/>
      <c r="AI333" s="181"/>
      <c r="AJ333" s="181"/>
      <c r="AK333" s="181"/>
      <c r="AL333" s="181"/>
      <c r="AM333" s="483"/>
      <c r="AN333" s="483"/>
      <c r="AO333" s="182"/>
      <c r="AP333" s="483"/>
      <c r="AQ333" s="483"/>
      <c r="AR333" s="182"/>
      <c r="AS333" s="181"/>
      <c r="AT333" s="181"/>
      <c r="AU333" s="181"/>
      <c r="AV333" s="181"/>
      <c r="AW333" s="189"/>
      <c r="AX333" s="189"/>
      <c r="AY333" s="181"/>
      <c r="AZ333" s="181"/>
      <c r="BA333" s="181"/>
      <c r="BB333" s="181"/>
      <c r="BC333" s="181"/>
      <c r="BD333" s="181"/>
      <c r="BE333" s="181"/>
      <c r="BF333" s="189"/>
      <c r="BG333" s="189"/>
      <c r="BH333" s="181"/>
      <c r="BI333" s="181"/>
      <c r="BJ333" s="181"/>
      <c r="BK333" s="182"/>
      <c r="BL333" s="181"/>
      <c r="BM333" s="181"/>
      <c r="BN333" s="181"/>
      <c r="BO333" s="181"/>
      <c r="BP333" s="181"/>
      <c r="BQ333" s="181"/>
      <c r="BR333" s="181"/>
      <c r="BS333" s="181"/>
      <c r="BT333" s="181"/>
      <c r="BU333" s="181"/>
      <c r="BV333" s="181"/>
      <c r="BW333" s="181"/>
      <c r="BX333" s="181"/>
      <c r="BY333" s="181"/>
      <c r="BZ333" s="189"/>
      <c r="CA333" s="189"/>
      <c r="CB333" s="181"/>
      <c r="CC333" s="181"/>
      <c r="CD333" s="181"/>
      <c r="CE333" s="182"/>
      <c r="CF333" s="181"/>
      <c r="CG333" s="181"/>
      <c r="CH333" s="181"/>
      <c r="CI333" s="181"/>
      <c r="CJ333" s="181"/>
      <c r="CK333" s="181"/>
      <c r="CL333" s="189"/>
      <c r="CM333" s="189"/>
      <c r="CN333" s="181"/>
      <c r="CO333" s="189"/>
      <c r="CP333" s="189"/>
      <c r="CQ333" s="181"/>
      <c r="CR333" s="181"/>
      <c r="CS333" s="181"/>
      <c r="CT333" s="181"/>
      <c r="CU333" s="181"/>
      <c r="CV333" s="181"/>
      <c r="CW333" s="181"/>
      <c r="CX333" s="181"/>
      <c r="CY333" s="181"/>
      <c r="CZ333" s="181"/>
      <c r="DA333" s="181"/>
      <c r="DB333" s="181"/>
      <c r="DC333" s="181"/>
      <c r="DD333" s="181"/>
      <c r="DE333" s="181"/>
      <c r="DF333" s="181"/>
      <c r="DG333" s="181"/>
      <c r="DH333" s="181"/>
      <c r="DI333" s="181"/>
      <c r="DJ333" s="181"/>
      <c r="DK333" s="181"/>
      <c r="DL333" s="181"/>
      <c r="DM333" s="181"/>
      <c r="DN333" s="181"/>
      <c r="DO333" s="181"/>
      <c r="DP333" s="181"/>
      <c r="DQ333" s="181"/>
      <c r="DR333" s="181"/>
      <c r="DS333" s="181"/>
      <c r="DT333" s="181"/>
      <c r="DU333" s="181"/>
      <c r="DV333" s="181"/>
      <c r="DW333" s="181"/>
      <c r="DX333" s="181"/>
      <c r="DY333" s="181"/>
      <c r="DZ333" s="181"/>
      <c r="EA333" s="181"/>
      <c r="EB333" s="181"/>
      <c r="EC333" s="181"/>
      <c r="ED333" s="181"/>
      <c r="EE333" s="181"/>
      <c r="EF333" s="181"/>
      <c r="EG333" s="181"/>
      <c r="EH333" s="181"/>
      <c r="EI333" s="181"/>
      <c r="EJ333" s="181"/>
      <c r="EK333" s="181"/>
      <c r="EL333" s="181"/>
      <c r="EM333" s="181"/>
      <c r="EN333" s="181"/>
      <c r="EO333" s="181"/>
      <c r="EP333" s="181"/>
      <c r="EQ333" s="181"/>
      <c r="ER333" s="181"/>
      <c r="ES333" s="181"/>
      <c r="ET333" s="181"/>
      <c r="EU333" s="181"/>
      <c r="EV333" s="181"/>
      <c r="EW333" s="181"/>
      <c r="EX333" s="181"/>
      <c r="EY333" s="181"/>
      <c r="EZ333" s="181"/>
      <c r="FA333" s="181"/>
      <c r="FB333" s="181"/>
      <c r="FC333" s="180">
        <f>FE333</f>
        <v>5049.15524</v>
      </c>
      <c r="FD333" s="180"/>
      <c r="FE333" s="163">
        <f>'[14]Распределение средств январь 21'!$I$266</f>
        <v>5049.15524</v>
      </c>
      <c r="FF333" s="180"/>
      <c r="FG333" s="180"/>
      <c r="FH333" s="180"/>
      <c r="FI333" s="180"/>
      <c r="FJ333" s="180"/>
      <c r="FK333" s="180"/>
      <c r="FL333" s="180"/>
      <c r="FM333" s="180"/>
      <c r="FN333" s="180"/>
      <c r="FO333" s="180"/>
      <c r="FP333" s="180"/>
      <c r="FQ333" s="180"/>
      <c r="FR333" s="180"/>
      <c r="FS333" s="180">
        <f>FW333</f>
        <v>1483.5165</v>
      </c>
      <c r="FT333" s="577">
        <f t="shared" si="640"/>
        <v>0.2938147926701497</v>
      </c>
      <c r="FU333" s="180"/>
      <c r="FV333" s="577">
        <v>0</v>
      </c>
      <c r="FW333" s="180">
        <f>'[12]на 1июля'!$FW$331</f>
        <v>1483.5165</v>
      </c>
      <c r="FX333" s="575">
        <f t="shared" ref="FX333:FX356" si="746">FW333/FE333</f>
        <v>0.2938147926701497</v>
      </c>
      <c r="FY333" s="181"/>
      <c r="FZ333" s="672"/>
      <c r="GA333" s="180">
        <f>GE333</f>
        <v>1184.0165</v>
      </c>
      <c r="GB333" s="577">
        <f t="shared" ref="GB333:GB345" si="747">GA333/FC333</f>
        <v>0.23449793950086589</v>
      </c>
      <c r="GC333" s="180"/>
      <c r="GD333" s="577"/>
      <c r="GE333" s="181">
        <v>1184.0165</v>
      </c>
      <c r="GF333" s="577">
        <f>GE333/FE333</f>
        <v>0.23449793950086589</v>
      </c>
      <c r="GG333" s="180"/>
      <c r="GH333" s="577"/>
      <c r="GI333" s="180">
        <f>GM333</f>
        <v>2023.5165</v>
      </c>
      <c r="GJ333" s="577">
        <f t="shared" si="658"/>
        <v>0.4007633760137666</v>
      </c>
      <c r="GK333" s="180"/>
      <c r="GL333" s="577"/>
      <c r="GM333" s="180">
        <f>'[12]на 1июля'!$GM$331</f>
        <v>2023.5165</v>
      </c>
      <c r="GN333" s="577">
        <f t="shared" ref="GN333:GN356" si="748">GM333/FE333</f>
        <v>0.4007633760137666</v>
      </c>
      <c r="GO333" s="180"/>
      <c r="GP333" s="577"/>
      <c r="GQ333" s="181"/>
      <c r="GR333" s="181"/>
      <c r="GS333" s="181"/>
      <c r="GT333" s="181"/>
      <c r="GU333" s="181"/>
      <c r="GV333" s="181"/>
      <c r="GW333" s="181"/>
      <c r="GX333" s="181"/>
      <c r="GY333" s="181"/>
      <c r="GZ333" s="181"/>
      <c r="HA333" s="181"/>
      <c r="HB333" s="181"/>
      <c r="HC333" s="181"/>
      <c r="HD333" s="181"/>
      <c r="HE333" s="181"/>
      <c r="HF333" s="181"/>
      <c r="HG333" s="181"/>
      <c r="HH333" s="181"/>
      <c r="HI333" s="181"/>
      <c r="HJ333" s="181"/>
      <c r="HK333" s="181"/>
      <c r="HL333" s="181"/>
      <c r="HM333" s="181"/>
      <c r="HN333" s="181"/>
      <c r="HO333" s="181"/>
      <c r="HP333" s="181"/>
      <c r="HQ333" s="181"/>
      <c r="HR333" s="181"/>
      <c r="HS333" s="181"/>
      <c r="HT333" s="181"/>
      <c r="HU333" s="181"/>
      <c r="HV333" s="181"/>
      <c r="HW333" s="181"/>
      <c r="HX333" s="181"/>
      <c r="HY333" s="181"/>
      <c r="HZ333" s="181"/>
      <c r="IA333" s="181"/>
      <c r="IB333" s="181"/>
      <c r="IC333" s="181"/>
      <c r="ID333" s="181"/>
      <c r="IE333" s="321"/>
      <c r="IF333" s="183"/>
      <c r="IG333" s="183"/>
      <c r="IH333" s="183"/>
      <c r="II333" s="251"/>
      <c r="IJ333" s="251"/>
      <c r="IK333" s="251"/>
      <c r="IL333" s="251"/>
      <c r="IM333" s="251"/>
      <c r="IN333" s="251"/>
      <c r="IO333" s="251"/>
    </row>
    <row r="334" spans="2:249" s="329" customFormat="1" ht="49.5" hidden="1" customHeight="1" x14ac:dyDescent="0.25">
      <c r="B334" s="241"/>
      <c r="C334" s="172" t="s">
        <v>506</v>
      </c>
      <c r="D334" s="325"/>
      <c r="E334" s="181"/>
      <c r="F334" s="181"/>
      <c r="G334" s="181"/>
      <c r="H334" s="181"/>
      <c r="I334" s="189"/>
      <c r="J334" s="189"/>
      <c r="K334" s="181"/>
      <c r="L334" s="181"/>
      <c r="M334" s="181"/>
      <c r="N334" s="181"/>
      <c r="O334" s="189"/>
      <c r="P334" s="189"/>
      <c r="Q334" s="181"/>
      <c r="R334" s="181"/>
      <c r="S334" s="181"/>
      <c r="T334" s="181"/>
      <c r="U334" s="181"/>
      <c r="V334" s="181"/>
      <c r="W334" s="181"/>
      <c r="X334" s="189"/>
      <c r="Y334" s="189"/>
      <c r="Z334" s="181"/>
      <c r="AA334" s="181"/>
      <c r="AB334" s="181"/>
      <c r="AC334" s="181"/>
      <c r="AD334" s="181"/>
      <c r="AE334" s="181"/>
      <c r="AF334" s="181"/>
      <c r="AG334" s="181"/>
      <c r="AH334" s="181"/>
      <c r="AI334" s="181"/>
      <c r="AJ334" s="181"/>
      <c r="AK334" s="181"/>
      <c r="AL334" s="181"/>
      <c r="AM334" s="640"/>
      <c r="AN334" s="640"/>
      <c r="AO334" s="182"/>
      <c r="AP334" s="640"/>
      <c r="AQ334" s="640"/>
      <c r="AR334" s="182"/>
      <c r="AS334" s="181"/>
      <c r="AT334" s="181"/>
      <c r="AU334" s="181"/>
      <c r="AV334" s="181"/>
      <c r="AW334" s="189"/>
      <c r="AX334" s="189"/>
      <c r="AY334" s="181"/>
      <c r="AZ334" s="181"/>
      <c r="BA334" s="181"/>
      <c r="BB334" s="181"/>
      <c r="BC334" s="181"/>
      <c r="BD334" s="181"/>
      <c r="BE334" s="181"/>
      <c r="BF334" s="189"/>
      <c r="BG334" s="189"/>
      <c r="BH334" s="181"/>
      <c r="BI334" s="181"/>
      <c r="BJ334" s="181"/>
      <c r="BK334" s="182"/>
      <c r="BL334" s="181"/>
      <c r="BM334" s="181"/>
      <c r="BN334" s="181"/>
      <c r="BO334" s="181"/>
      <c r="BP334" s="181"/>
      <c r="BQ334" s="181"/>
      <c r="BR334" s="181"/>
      <c r="BS334" s="181"/>
      <c r="BT334" s="181"/>
      <c r="BU334" s="181"/>
      <c r="BV334" s="181"/>
      <c r="BW334" s="181"/>
      <c r="BX334" s="181"/>
      <c r="BY334" s="181"/>
      <c r="BZ334" s="189"/>
      <c r="CA334" s="189"/>
      <c r="CB334" s="181"/>
      <c r="CC334" s="181"/>
      <c r="CD334" s="181"/>
      <c r="CE334" s="182"/>
      <c r="CF334" s="181"/>
      <c r="CG334" s="181"/>
      <c r="CH334" s="181"/>
      <c r="CI334" s="181"/>
      <c r="CJ334" s="181"/>
      <c r="CK334" s="181"/>
      <c r="CL334" s="189"/>
      <c r="CM334" s="189"/>
      <c r="CN334" s="181"/>
      <c r="CO334" s="189"/>
      <c r="CP334" s="189"/>
      <c r="CQ334" s="181"/>
      <c r="CR334" s="181"/>
      <c r="CS334" s="181"/>
      <c r="CT334" s="181"/>
      <c r="CU334" s="181"/>
      <c r="CV334" s="181"/>
      <c r="CW334" s="181"/>
      <c r="CX334" s="181"/>
      <c r="CY334" s="181"/>
      <c r="CZ334" s="181"/>
      <c r="DA334" s="181"/>
      <c r="DB334" s="181"/>
      <c r="DC334" s="181"/>
      <c r="DD334" s="181"/>
      <c r="DE334" s="181"/>
      <c r="DF334" s="181"/>
      <c r="DG334" s="181"/>
      <c r="DH334" s="181"/>
      <c r="DI334" s="181"/>
      <c r="DJ334" s="181"/>
      <c r="DK334" s="181"/>
      <c r="DL334" s="181"/>
      <c r="DM334" s="181"/>
      <c r="DN334" s="181"/>
      <c r="DO334" s="181"/>
      <c r="DP334" s="181"/>
      <c r="DQ334" s="181"/>
      <c r="DR334" s="181"/>
      <c r="DS334" s="181"/>
      <c r="DT334" s="181"/>
      <c r="DU334" s="181"/>
      <c r="DV334" s="181"/>
      <c r="DW334" s="181"/>
      <c r="DX334" s="181"/>
      <c r="DY334" s="181"/>
      <c r="DZ334" s="181"/>
      <c r="EA334" s="181"/>
      <c r="EB334" s="181"/>
      <c r="EC334" s="181"/>
      <c r="ED334" s="181"/>
      <c r="EE334" s="181"/>
      <c r="EF334" s="181"/>
      <c r="EG334" s="181"/>
      <c r="EH334" s="181"/>
      <c r="EI334" s="181"/>
      <c r="EJ334" s="181"/>
      <c r="EK334" s="181"/>
      <c r="EL334" s="181"/>
      <c r="EM334" s="181"/>
      <c r="EN334" s="181"/>
      <c r="EO334" s="181"/>
      <c r="EP334" s="181"/>
      <c r="EQ334" s="181"/>
      <c r="ER334" s="181"/>
      <c r="ES334" s="181"/>
      <c r="ET334" s="181"/>
      <c r="EU334" s="181"/>
      <c r="EV334" s="181"/>
      <c r="EW334" s="181"/>
      <c r="EX334" s="181"/>
      <c r="EY334" s="181"/>
      <c r="EZ334" s="181"/>
      <c r="FA334" s="181"/>
      <c r="FB334" s="181"/>
      <c r="FC334" s="180">
        <f>FE334</f>
        <v>125</v>
      </c>
      <c r="FD334" s="180"/>
      <c r="FE334" s="163">
        <f>'[14]Распределение средств январь 21'!$I$269</f>
        <v>125</v>
      </c>
      <c r="FF334" s="180"/>
      <c r="FG334" s="180"/>
      <c r="FH334" s="180"/>
      <c r="FI334" s="180"/>
      <c r="FJ334" s="180"/>
      <c r="FK334" s="180"/>
      <c r="FL334" s="180"/>
      <c r="FM334" s="180"/>
      <c r="FN334" s="180"/>
      <c r="FO334" s="180"/>
      <c r="FP334" s="180"/>
      <c r="FQ334" s="180"/>
      <c r="FR334" s="180"/>
      <c r="FS334" s="180"/>
      <c r="FT334" s="577">
        <f t="shared" si="640"/>
        <v>0</v>
      </c>
      <c r="FU334" s="180"/>
      <c r="FV334" s="577">
        <v>0</v>
      </c>
      <c r="FW334" s="180"/>
      <c r="FX334" s="575">
        <f t="shared" si="746"/>
        <v>0</v>
      </c>
      <c r="FY334" s="181"/>
      <c r="FZ334" s="672"/>
      <c r="GA334" s="180">
        <f>GE334</f>
        <v>0</v>
      </c>
      <c r="GB334" s="577">
        <f t="shared" si="747"/>
        <v>0</v>
      </c>
      <c r="GC334" s="180"/>
      <c r="GD334" s="577"/>
      <c r="GE334" s="181"/>
      <c r="GF334" s="577">
        <f>GE334/FE334</f>
        <v>0</v>
      </c>
      <c r="GG334" s="180"/>
      <c r="GH334" s="577"/>
      <c r="GI334" s="180"/>
      <c r="GJ334" s="577">
        <f t="shared" si="658"/>
        <v>0</v>
      </c>
      <c r="GK334" s="180"/>
      <c r="GL334" s="577"/>
      <c r="GM334" s="180"/>
      <c r="GN334" s="577"/>
      <c r="GO334" s="180"/>
      <c r="GP334" s="577"/>
      <c r="GQ334" s="181"/>
      <c r="GR334" s="181"/>
      <c r="GS334" s="181"/>
      <c r="GT334" s="181"/>
      <c r="GU334" s="181"/>
      <c r="GV334" s="181"/>
      <c r="GW334" s="181"/>
      <c r="GX334" s="181"/>
      <c r="GY334" s="181"/>
      <c r="GZ334" s="181"/>
      <c r="HA334" s="181"/>
      <c r="HB334" s="181"/>
      <c r="HC334" s="181"/>
      <c r="HD334" s="181"/>
      <c r="HE334" s="181"/>
      <c r="HF334" s="181"/>
      <c r="HG334" s="181"/>
      <c r="HH334" s="181"/>
      <c r="HI334" s="181"/>
      <c r="HJ334" s="181"/>
      <c r="HK334" s="181"/>
      <c r="HL334" s="181"/>
      <c r="HM334" s="181"/>
      <c r="HN334" s="181"/>
      <c r="HO334" s="181"/>
      <c r="HP334" s="181"/>
      <c r="HQ334" s="181"/>
      <c r="HR334" s="181"/>
      <c r="HS334" s="181"/>
      <c r="HT334" s="181"/>
      <c r="HU334" s="181"/>
      <c r="HV334" s="181"/>
      <c r="HW334" s="181"/>
      <c r="HX334" s="181"/>
      <c r="HY334" s="181"/>
      <c r="HZ334" s="181"/>
      <c r="IA334" s="181"/>
      <c r="IB334" s="181"/>
      <c r="IC334" s="181"/>
      <c r="ID334" s="181"/>
      <c r="IE334" s="321"/>
      <c r="IF334" s="183"/>
      <c r="IG334" s="183"/>
      <c r="IH334" s="183"/>
      <c r="II334" s="251"/>
      <c r="IJ334" s="251"/>
      <c r="IK334" s="251"/>
      <c r="IL334" s="251"/>
      <c r="IM334" s="251"/>
      <c r="IN334" s="251"/>
      <c r="IO334" s="251"/>
    </row>
    <row r="335" spans="2:249" s="329" customFormat="1" ht="66" hidden="1" customHeight="1" x14ac:dyDescent="0.25">
      <c r="B335" s="241"/>
      <c r="C335" s="172" t="s">
        <v>507</v>
      </c>
      <c r="D335" s="325"/>
      <c r="E335" s="181"/>
      <c r="F335" s="181"/>
      <c r="G335" s="181"/>
      <c r="H335" s="181"/>
      <c r="I335" s="189"/>
      <c r="J335" s="189"/>
      <c r="K335" s="181"/>
      <c r="L335" s="181"/>
      <c r="M335" s="181"/>
      <c r="N335" s="181"/>
      <c r="O335" s="189"/>
      <c r="P335" s="189"/>
      <c r="Q335" s="181"/>
      <c r="R335" s="181"/>
      <c r="S335" s="181"/>
      <c r="T335" s="181"/>
      <c r="U335" s="181"/>
      <c r="V335" s="181"/>
      <c r="W335" s="181"/>
      <c r="X335" s="189"/>
      <c r="Y335" s="189"/>
      <c r="Z335" s="181"/>
      <c r="AA335" s="181"/>
      <c r="AB335" s="181"/>
      <c r="AC335" s="181"/>
      <c r="AD335" s="181"/>
      <c r="AE335" s="181"/>
      <c r="AF335" s="181"/>
      <c r="AG335" s="181"/>
      <c r="AH335" s="181"/>
      <c r="AI335" s="181"/>
      <c r="AJ335" s="181"/>
      <c r="AK335" s="181"/>
      <c r="AL335" s="181"/>
      <c r="AM335" s="640"/>
      <c r="AN335" s="640"/>
      <c r="AO335" s="182"/>
      <c r="AP335" s="640"/>
      <c r="AQ335" s="640"/>
      <c r="AR335" s="182"/>
      <c r="AS335" s="181"/>
      <c r="AT335" s="181"/>
      <c r="AU335" s="181"/>
      <c r="AV335" s="181"/>
      <c r="AW335" s="189"/>
      <c r="AX335" s="189"/>
      <c r="AY335" s="181"/>
      <c r="AZ335" s="181"/>
      <c r="BA335" s="181"/>
      <c r="BB335" s="181"/>
      <c r="BC335" s="181"/>
      <c r="BD335" s="181"/>
      <c r="BE335" s="181"/>
      <c r="BF335" s="189"/>
      <c r="BG335" s="189"/>
      <c r="BH335" s="181"/>
      <c r="BI335" s="181"/>
      <c r="BJ335" s="181"/>
      <c r="BK335" s="182"/>
      <c r="BL335" s="181"/>
      <c r="BM335" s="181"/>
      <c r="BN335" s="181"/>
      <c r="BO335" s="181"/>
      <c r="BP335" s="181"/>
      <c r="BQ335" s="181"/>
      <c r="BR335" s="181"/>
      <c r="BS335" s="181"/>
      <c r="BT335" s="181"/>
      <c r="BU335" s="181"/>
      <c r="BV335" s="181"/>
      <c r="BW335" s="181"/>
      <c r="BX335" s="181"/>
      <c r="BY335" s="181"/>
      <c r="BZ335" s="189"/>
      <c r="CA335" s="189"/>
      <c r="CB335" s="181"/>
      <c r="CC335" s="181"/>
      <c r="CD335" s="181"/>
      <c r="CE335" s="182"/>
      <c r="CF335" s="181"/>
      <c r="CG335" s="181"/>
      <c r="CH335" s="181"/>
      <c r="CI335" s="181"/>
      <c r="CJ335" s="181"/>
      <c r="CK335" s="181"/>
      <c r="CL335" s="189"/>
      <c r="CM335" s="189"/>
      <c r="CN335" s="181"/>
      <c r="CO335" s="189"/>
      <c r="CP335" s="189"/>
      <c r="CQ335" s="181"/>
      <c r="CR335" s="181"/>
      <c r="CS335" s="181"/>
      <c r="CT335" s="181"/>
      <c r="CU335" s="181"/>
      <c r="CV335" s="181"/>
      <c r="CW335" s="181"/>
      <c r="CX335" s="181"/>
      <c r="CY335" s="181"/>
      <c r="CZ335" s="181"/>
      <c r="DA335" s="181"/>
      <c r="DB335" s="181"/>
      <c r="DC335" s="181"/>
      <c r="DD335" s="181"/>
      <c r="DE335" s="181"/>
      <c r="DF335" s="181"/>
      <c r="DG335" s="181"/>
      <c r="DH335" s="181"/>
      <c r="DI335" s="181"/>
      <c r="DJ335" s="181"/>
      <c r="DK335" s="181"/>
      <c r="DL335" s="181"/>
      <c r="DM335" s="181"/>
      <c r="DN335" s="181"/>
      <c r="DO335" s="181"/>
      <c r="DP335" s="181"/>
      <c r="DQ335" s="181"/>
      <c r="DR335" s="181"/>
      <c r="DS335" s="181"/>
      <c r="DT335" s="181"/>
      <c r="DU335" s="181"/>
      <c r="DV335" s="181"/>
      <c r="DW335" s="181"/>
      <c r="DX335" s="181"/>
      <c r="DY335" s="181"/>
      <c r="DZ335" s="181"/>
      <c r="EA335" s="181"/>
      <c r="EB335" s="181"/>
      <c r="EC335" s="181"/>
      <c r="ED335" s="181"/>
      <c r="EE335" s="181"/>
      <c r="EF335" s="181"/>
      <c r="EG335" s="181"/>
      <c r="EH335" s="181"/>
      <c r="EI335" s="181"/>
      <c r="EJ335" s="181"/>
      <c r="EK335" s="181"/>
      <c r="EL335" s="181"/>
      <c r="EM335" s="181"/>
      <c r="EN335" s="181"/>
      <c r="EO335" s="181"/>
      <c r="EP335" s="181"/>
      <c r="EQ335" s="181"/>
      <c r="ER335" s="181"/>
      <c r="ES335" s="181"/>
      <c r="ET335" s="181"/>
      <c r="EU335" s="181"/>
      <c r="EV335" s="181"/>
      <c r="EW335" s="181"/>
      <c r="EX335" s="181"/>
      <c r="EY335" s="181"/>
      <c r="EZ335" s="181"/>
      <c r="FA335" s="181"/>
      <c r="FB335" s="181"/>
      <c r="FC335" s="180">
        <f>FE335</f>
        <v>1.46</v>
      </c>
      <c r="FD335" s="180"/>
      <c r="FE335" s="163">
        <f>'[14]Распределение средств январь 21'!$I$272</f>
        <v>1.46</v>
      </c>
      <c r="FF335" s="180"/>
      <c r="FG335" s="180"/>
      <c r="FH335" s="180"/>
      <c r="FI335" s="180"/>
      <c r="FJ335" s="180"/>
      <c r="FK335" s="180"/>
      <c r="FL335" s="180"/>
      <c r="FM335" s="180"/>
      <c r="FN335" s="180"/>
      <c r="FO335" s="180"/>
      <c r="FP335" s="180"/>
      <c r="FQ335" s="180"/>
      <c r="FR335" s="180"/>
      <c r="FS335" s="180"/>
      <c r="FT335" s="577">
        <f t="shared" si="640"/>
        <v>0</v>
      </c>
      <c r="FU335" s="180"/>
      <c r="FV335" s="577">
        <v>0</v>
      </c>
      <c r="FW335" s="180"/>
      <c r="FX335" s="575">
        <f t="shared" si="746"/>
        <v>0</v>
      </c>
      <c r="FY335" s="181"/>
      <c r="FZ335" s="672"/>
      <c r="GA335" s="180">
        <f>GE335</f>
        <v>0</v>
      </c>
      <c r="GB335" s="577">
        <f t="shared" si="747"/>
        <v>0</v>
      </c>
      <c r="GC335" s="180"/>
      <c r="GD335" s="577"/>
      <c r="GE335" s="181"/>
      <c r="GF335" s="577">
        <f>GE335/FE335</f>
        <v>0</v>
      </c>
      <c r="GG335" s="180"/>
      <c r="GH335" s="577"/>
      <c r="GI335" s="180"/>
      <c r="GJ335" s="577">
        <f t="shared" si="658"/>
        <v>0</v>
      </c>
      <c r="GK335" s="180"/>
      <c r="GL335" s="577"/>
      <c r="GM335" s="180"/>
      <c r="GN335" s="577"/>
      <c r="GO335" s="180"/>
      <c r="GP335" s="577"/>
      <c r="GQ335" s="181"/>
      <c r="GR335" s="181"/>
      <c r="GS335" s="181"/>
      <c r="GT335" s="181"/>
      <c r="GU335" s="181"/>
      <c r="GV335" s="181"/>
      <c r="GW335" s="181"/>
      <c r="GX335" s="181"/>
      <c r="GY335" s="181"/>
      <c r="GZ335" s="181"/>
      <c r="HA335" s="181"/>
      <c r="HB335" s="181"/>
      <c r="HC335" s="181"/>
      <c r="HD335" s="181"/>
      <c r="HE335" s="181"/>
      <c r="HF335" s="181"/>
      <c r="HG335" s="181"/>
      <c r="HH335" s="181"/>
      <c r="HI335" s="181"/>
      <c r="HJ335" s="181"/>
      <c r="HK335" s="181"/>
      <c r="HL335" s="181"/>
      <c r="HM335" s="181"/>
      <c r="HN335" s="181"/>
      <c r="HO335" s="181"/>
      <c r="HP335" s="181"/>
      <c r="HQ335" s="181"/>
      <c r="HR335" s="181"/>
      <c r="HS335" s="181"/>
      <c r="HT335" s="181"/>
      <c r="HU335" s="181"/>
      <c r="HV335" s="181"/>
      <c r="HW335" s="181"/>
      <c r="HX335" s="181"/>
      <c r="HY335" s="181"/>
      <c r="HZ335" s="181"/>
      <c r="IA335" s="181"/>
      <c r="IB335" s="181"/>
      <c r="IC335" s="181"/>
      <c r="ID335" s="181"/>
      <c r="IE335" s="321"/>
      <c r="IF335" s="183"/>
      <c r="IG335" s="183"/>
      <c r="IH335" s="183"/>
      <c r="II335" s="251"/>
      <c r="IJ335" s="251"/>
      <c r="IK335" s="251"/>
      <c r="IL335" s="251"/>
      <c r="IM335" s="251"/>
      <c r="IN335" s="251"/>
      <c r="IO335" s="251"/>
    </row>
    <row r="336" spans="2:249" s="329" customFormat="1" ht="46.5" hidden="1" customHeight="1" x14ac:dyDescent="0.25">
      <c r="B336" s="241"/>
      <c r="C336" s="172" t="s">
        <v>471</v>
      </c>
      <c r="D336" s="325"/>
      <c r="E336" s="181"/>
      <c r="F336" s="181"/>
      <c r="G336" s="181"/>
      <c r="H336" s="181"/>
      <c r="I336" s="189"/>
      <c r="J336" s="189"/>
      <c r="K336" s="181"/>
      <c r="L336" s="181"/>
      <c r="M336" s="181"/>
      <c r="N336" s="181"/>
      <c r="O336" s="189"/>
      <c r="P336" s="189"/>
      <c r="Q336" s="181"/>
      <c r="R336" s="181"/>
      <c r="S336" s="181"/>
      <c r="T336" s="181"/>
      <c r="U336" s="181"/>
      <c r="V336" s="181"/>
      <c r="W336" s="181"/>
      <c r="X336" s="189"/>
      <c r="Y336" s="189"/>
      <c r="Z336" s="181"/>
      <c r="AA336" s="181"/>
      <c r="AB336" s="181"/>
      <c r="AC336" s="181"/>
      <c r="AD336" s="181"/>
      <c r="AE336" s="181"/>
      <c r="AF336" s="181"/>
      <c r="AG336" s="181"/>
      <c r="AH336" s="181"/>
      <c r="AI336" s="181"/>
      <c r="AJ336" s="181"/>
      <c r="AK336" s="181"/>
      <c r="AL336" s="181"/>
      <c r="AM336" s="483"/>
      <c r="AN336" s="483"/>
      <c r="AO336" s="182"/>
      <c r="AP336" s="483"/>
      <c r="AQ336" s="483"/>
      <c r="AR336" s="182"/>
      <c r="AS336" s="181"/>
      <c r="AT336" s="181"/>
      <c r="AU336" s="181"/>
      <c r="AV336" s="181"/>
      <c r="AW336" s="189"/>
      <c r="AX336" s="189"/>
      <c r="AY336" s="181"/>
      <c r="AZ336" s="181"/>
      <c r="BA336" s="181"/>
      <c r="BB336" s="181"/>
      <c r="BC336" s="181"/>
      <c r="BD336" s="181"/>
      <c r="BE336" s="181"/>
      <c r="BF336" s="189"/>
      <c r="BG336" s="189"/>
      <c r="BH336" s="181"/>
      <c r="BI336" s="181"/>
      <c r="BJ336" s="181"/>
      <c r="BK336" s="182"/>
      <c r="BL336" s="181"/>
      <c r="BM336" s="181"/>
      <c r="BN336" s="181"/>
      <c r="BO336" s="181"/>
      <c r="BP336" s="181"/>
      <c r="BQ336" s="181"/>
      <c r="BR336" s="181"/>
      <c r="BS336" s="181"/>
      <c r="BT336" s="181"/>
      <c r="BU336" s="181"/>
      <c r="BV336" s="181"/>
      <c r="BW336" s="181"/>
      <c r="BX336" s="181"/>
      <c r="BY336" s="181"/>
      <c r="BZ336" s="189"/>
      <c r="CA336" s="189"/>
      <c r="CB336" s="181"/>
      <c r="CC336" s="181"/>
      <c r="CD336" s="181"/>
      <c r="CE336" s="182"/>
      <c r="CF336" s="181"/>
      <c r="CG336" s="181"/>
      <c r="CH336" s="181"/>
      <c r="CI336" s="181"/>
      <c r="CJ336" s="181"/>
      <c r="CK336" s="181"/>
      <c r="CL336" s="189"/>
      <c r="CM336" s="189"/>
      <c r="CN336" s="181"/>
      <c r="CO336" s="189"/>
      <c r="CP336" s="189"/>
      <c r="CQ336" s="181"/>
      <c r="CR336" s="181"/>
      <c r="CS336" s="181"/>
      <c r="CT336" s="181"/>
      <c r="CU336" s="181"/>
      <c r="CV336" s="181"/>
      <c r="CW336" s="181"/>
      <c r="CX336" s="181"/>
      <c r="CY336" s="181"/>
      <c r="CZ336" s="181"/>
      <c r="DA336" s="181"/>
      <c r="DB336" s="181"/>
      <c r="DC336" s="181"/>
      <c r="DD336" s="181"/>
      <c r="DE336" s="181"/>
      <c r="DF336" s="181"/>
      <c r="DG336" s="181"/>
      <c r="DH336" s="181"/>
      <c r="DI336" s="181"/>
      <c r="DJ336" s="181"/>
      <c r="DK336" s="181"/>
      <c r="DL336" s="181"/>
      <c r="DM336" s="181"/>
      <c r="DN336" s="181"/>
      <c r="DO336" s="181"/>
      <c r="DP336" s="181"/>
      <c r="DQ336" s="181"/>
      <c r="DR336" s="181"/>
      <c r="DS336" s="181"/>
      <c r="DT336" s="181"/>
      <c r="DU336" s="181"/>
      <c r="DV336" s="181"/>
      <c r="DW336" s="181"/>
      <c r="DX336" s="181"/>
      <c r="DY336" s="181"/>
      <c r="DZ336" s="181"/>
      <c r="EA336" s="181"/>
      <c r="EB336" s="181"/>
      <c r="EC336" s="181"/>
      <c r="ED336" s="181"/>
      <c r="EE336" s="181"/>
      <c r="EF336" s="181"/>
      <c r="EG336" s="181"/>
      <c r="EH336" s="181"/>
      <c r="EI336" s="181"/>
      <c r="EJ336" s="181"/>
      <c r="EK336" s="181"/>
      <c r="EL336" s="181"/>
      <c r="EM336" s="181"/>
      <c r="EN336" s="181"/>
      <c r="EO336" s="181"/>
      <c r="EP336" s="181"/>
      <c r="EQ336" s="181"/>
      <c r="ER336" s="181"/>
      <c r="ES336" s="181"/>
      <c r="ET336" s="181"/>
      <c r="EU336" s="181"/>
      <c r="EV336" s="181"/>
      <c r="EW336" s="181"/>
      <c r="EX336" s="181"/>
      <c r="EY336" s="181"/>
      <c r="EZ336" s="181"/>
      <c r="FA336" s="181"/>
      <c r="FB336" s="181"/>
      <c r="FC336" s="180">
        <f t="shared" ref="FC336:FC345" si="749">FE336</f>
        <v>1753</v>
      </c>
      <c r="FD336" s="180"/>
      <c r="FE336" s="163">
        <v>1753</v>
      </c>
      <c r="FF336" s="180"/>
      <c r="FG336" s="180"/>
      <c r="FH336" s="180"/>
      <c r="FI336" s="180"/>
      <c r="FJ336" s="180"/>
      <c r="FK336" s="180"/>
      <c r="FL336" s="180"/>
      <c r="FM336" s="180"/>
      <c r="FN336" s="180"/>
      <c r="FO336" s="180"/>
      <c r="FP336" s="180"/>
      <c r="FQ336" s="180"/>
      <c r="FR336" s="180"/>
      <c r="FS336" s="180">
        <f t="shared" ref="FS336:FS344" si="750">FW336</f>
        <v>0</v>
      </c>
      <c r="FT336" s="577">
        <f t="shared" si="640"/>
        <v>0</v>
      </c>
      <c r="FU336" s="180"/>
      <c r="FV336" s="577">
        <v>0</v>
      </c>
      <c r="FW336" s="180"/>
      <c r="FX336" s="575">
        <f t="shared" si="746"/>
        <v>0</v>
      </c>
      <c r="FY336" s="181"/>
      <c r="FZ336" s="672"/>
      <c r="GA336" s="180">
        <f t="shared" ref="GA336:GA345" si="751">GE336</f>
        <v>0</v>
      </c>
      <c r="GB336" s="577">
        <f t="shared" si="747"/>
        <v>0</v>
      </c>
      <c r="GC336" s="180"/>
      <c r="GD336" s="577"/>
      <c r="GE336" s="181"/>
      <c r="GF336" s="577">
        <f>GE336/FE336</f>
        <v>0</v>
      </c>
      <c r="GG336" s="180"/>
      <c r="GH336" s="577"/>
      <c r="GI336" s="180">
        <f t="shared" ref="GI336:GI345" si="752">GM336</f>
        <v>0</v>
      </c>
      <c r="GJ336" s="577">
        <f t="shared" si="658"/>
        <v>0</v>
      </c>
      <c r="GK336" s="180"/>
      <c r="GL336" s="577"/>
      <c r="GM336" s="180"/>
      <c r="GN336" s="577">
        <f t="shared" si="748"/>
        <v>0</v>
      </c>
      <c r="GO336" s="180"/>
      <c r="GP336" s="577"/>
      <c r="GQ336" s="181"/>
      <c r="GR336" s="181"/>
      <c r="GS336" s="181"/>
      <c r="GT336" s="181"/>
      <c r="GU336" s="181"/>
      <c r="GV336" s="181"/>
      <c r="GW336" s="181"/>
      <c r="GX336" s="181"/>
      <c r="GY336" s="181"/>
      <c r="GZ336" s="181"/>
      <c r="HA336" s="181"/>
      <c r="HB336" s="181"/>
      <c r="HC336" s="181"/>
      <c r="HD336" s="181"/>
      <c r="HE336" s="181"/>
      <c r="HF336" s="181"/>
      <c r="HG336" s="181"/>
      <c r="HH336" s="181"/>
      <c r="HI336" s="181"/>
      <c r="HJ336" s="181"/>
      <c r="HK336" s="181"/>
      <c r="HL336" s="181"/>
      <c r="HM336" s="181"/>
      <c r="HN336" s="181"/>
      <c r="HO336" s="181"/>
      <c r="HP336" s="181"/>
      <c r="HQ336" s="181"/>
      <c r="HR336" s="181"/>
      <c r="HS336" s="181"/>
      <c r="HT336" s="181"/>
      <c r="HU336" s="181"/>
      <c r="HV336" s="181"/>
      <c r="HW336" s="181"/>
      <c r="HX336" s="181"/>
      <c r="HY336" s="181"/>
      <c r="HZ336" s="181"/>
      <c r="IA336" s="181"/>
      <c r="IB336" s="181"/>
      <c r="IC336" s="181"/>
      <c r="ID336" s="181"/>
      <c r="IE336" s="321"/>
      <c r="IF336" s="183"/>
      <c r="IG336" s="183"/>
      <c r="IH336" s="183"/>
      <c r="II336" s="251"/>
      <c r="IJ336" s="251"/>
      <c r="IK336" s="251"/>
      <c r="IL336" s="251"/>
      <c r="IM336" s="251"/>
      <c r="IN336" s="251"/>
      <c r="IO336" s="251"/>
    </row>
    <row r="337" spans="2:249" s="329" customFormat="1" ht="90" hidden="1" customHeight="1" x14ac:dyDescent="0.25">
      <c r="B337" s="241"/>
      <c r="C337" s="172" t="s">
        <v>529</v>
      </c>
      <c r="D337" s="325"/>
      <c r="E337" s="181"/>
      <c r="F337" s="181"/>
      <c r="G337" s="181"/>
      <c r="H337" s="181"/>
      <c r="I337" s="189"/>
      <c r="J337" s="189"/>
      <c r="K337" s="181"/>
      <c r="L337" s="181"/>
      <c r="M337" s="181"/>
      <c r="N337" s="181"/>
      <c r="O337" s="189"/>
      <c r="P337" s="189"/>
      <c r="Q337" s="181"/>
      <c r="R337" s="181"/>
      <c r="S337" s="181"/>
      <c r="T337" s="181"/>
      <c r="U337" s="181"/>
      <c r="V337" s="181"/>
      <c r="W337" s="181"/>
      <c r="X337" s="189"/>
      <c r="Y337" s="189"/>
      <c r="Z337" s="181"/>
      <c r="AA337" s="181"/>
      <c r="AB337" s="181"/>
      <c r="AC337" s="181"/>
      <c r="AD337" s="181"/>
      <c r="AE337" s="181"/>
      <c r="AF337" s="181"/>
      <c r="AG337" s="181"/>
      <c r="AH337" s="181"/>
      <c r="AI337" s="181"/>
      <c r="AJ337" s="181"/>
      <c r="AK337" s="181"/>
      <c r="AL337" s="181"/>
      <c r="AM337" s="675"/>
      <c r="AN337" s="675"/>
      <c r="AO337" s="182"/>
      <c r="AP337" s="675"/>
      <c r="AQ337" s="675"/>
      <c r="AR337" s="182"/>
      <c r="AS337" s="181"/>
      <c r="AT337" s="181"/>
      <c r="AU337" s="181"/>
      <c r="AV337" s="181"/>
      <c r="AW337" s="189"/>
      <c r="AX337" s="189"/>
      <c r="AY337" s="181"/>
      <c r="AZ337" s="181"/>
      <c r="BA337" s="181"/>
      <c r="BB337" s="181"/>
      <c r="BC337" s="181"/>
      <c r="BD337" s="181"/>
      <c r="BE337" s="181"/>
      <c r="BF337" s="189"/>
      <c r="BG337" s="189"/>
      <c r="BH337" s="181"/>
      <c r="BI337" s="181"/>
      <c r="BJ337" s="181"/>
      <c r="BK337" s="182"/>
      <c r="BL337" s="181"/>
      <c r="BM337" s="181"/>
      <c r="BN337" s="181"/>
      <c r="BO337" s="181"/>
      <c r="BP337" s="181"/>
      <c r="BQ337" s="181"/>
      <c r="BR337" s="181"/>
      <c r="BS337" s="181"/>
      <c r="BT337" s="181"/>
      <c r="BU337" s="181"/>
      <c r="BV337" s="181"/>
      <c r="BW337" s="181"/>
      <c r="BX337" s="181"/>
      <c r="BY337" s="181"/>
      <c r="BZ337" s="189"/>
      <c r="CA337" s="189"/>
      <c r="CB337" s="181"/>
      <c r="CC337" s="181"/>
      <c r="CD337" s="181"/>
      <c r="CE337" s="182"/>
      <c r="CF337" s="181"/>
      <c r="CG337" s="181"/>
      <c r="CH337" s="181"/>
      <c r="CI337" s="181"/>
      <c r="CJ337" s="181"/>
      <c r="CK337" s="181"/>
      <c r="CL337" s="189"/>
      <c r="CM337" s="189"/>
      <c r="CN337" s="181"/>
      <c r="CO337" s="189"/>
      <c r="CP337" s="189"/>
      <c r="CQ337" s="181"/>
      <c r="CR337" s="181"/>
      <c r="CS337" s="181"/>
      <c r="CT337" s="181"/>
      <c r="CU337" s="181"/>
      <c r="CV337" s="181"/>
      <c r="CW337" s="181"/>
      <c r="CX337" s="181"/>
      <c r="CY337" s="181"/>
      <c r="CZ337" s="181"/>
      <c r="DA337" s="181"/>
      <c r="DB337" s="181"/>
      <c r="DC337" s="181"/>
      <c r="DD337" s="181"/>
      <c r="DE337" s="181"/>
      <c r="DF337" s="181"/>
      <c r="DG337" s="181"/>
      <c r="DH337" s="181"/>
      <c r="DI337" s="181"/>
      <c r="DJ337" s="181"/>
      <c r="DK337" s="181"/>
      <c r="DL337" s="181"/>
      <c r="DM337" s="181"/>
      <c r="DN337" s="181"/>
      <c r="DO337" s="181"/>
      <c r="DP337" s="181"/>
      <c r="DQ337" s="181"/>
      <c r="DR337" s="181"/>
      <c r="DS337" s="181"/>
      <c r="DT337" s="181"/>
      <c r="DU337" s="181"/>
      <c r="DV337" s="181"/>
      <c r="DW337" s="181"/>
      <c r="DX337" s="181"/>
      <c r="DY337" s="181"/>
      <c r="DZ337" s="181"/>
      <c r="EA337" s="181"/>
      <c r="EB337" s="181"/>
      <c r="EC337" s="181"/>
      <c r="ED337" s="181"/>
      <c r="EE337" s="181"/>
      <c r="EF337" s="181"/>
      <c r="EG337" s="181"/>
      <c r="EH337" s="181"/>
      <c r="EI337" s="181"/>
      <c r="EJ337" s="181"/>
      <c r="EK337" s="181"/>
      <c r="EL337" s="181"/>
      <c r="EM337" s="181"/>
      <c r="EN337" s="181"/>
      <c r="EO337" s="181"/>
      <c r="EP337" s="181"/>
      <c r="EQ337" s="181"/>
      <c r="ER337" s="181"/>
      <c r="ES337" s="181"/>
      <c r="ET337" s="181"/>
      <c r="EU337" s="181"/>
      <c r="EV337" s="181"/>
      <c r="EW337" s="181"/>
      <c r="EX337" s="181"/>
      <c r="EY337" s="181"/>
      <c r="EZ337" s="181"/>
      <c r="FA337" s="181"/>
      <c r="FB337" s="181"/>
      <c r="FC337" s="180">
        <f t="shared" si="749"/>
        <v>6507.63</v>
      </c>
      <c r="FD337" s="180"/>
      <c r="FE337" s="163">
        <v>6507.63</v>
      </c>
      <c r="FF337" s="180"/>
      <c r="FG337" s="180"/>
      <c r="FH337" s="180"/>
      <c r="FI337" s="180"/>
      <c r="FJ337" s="180"/>
      <c r="FK337" s="180"/>
      <c r="FL337" s="180"/>
      <c r="FM337" s="180"/>
      <c r="FN337" s="180"/>
      <c r="FO337" s="180"/>
      <c r="FP337" s="180"/>
      <c r="FQ337" s="180"/>
      <c r="FR337" s="180"/>
      <c r="FS337" s="180"/>
      <c r="FT337" s="577">
        <f t="shared" si="640"/>
        <v>0</v>
      </c>
      <c r="FU337" s="180"/>
      <c r="FV337" s="577">
        <v>0</v>
      </c>
      <c r="FW337" s="180"/>
      <c r="FX337" s="575">
        <f t="shared" si="746"/>
        <v>0</v>
      </c>
      <c r="FY337" s="181"/>
      <c r="FZ337" s="672"/>
      <c r="GA337" s="180"/>
      <c r="GB337" s="577"/>
      <c r="GC337" s="180"/>
      <c r="GD337" s="577"/>
      <c r="GE337" s="181"/>
      <c r="GF337" s="577"/>
      <c r="GG337" s="180"/>
      <c r="GH337" s="577"/>
      <c r="GI337" s="180"/>
      <c r="GJ337" s="577"/>
      <c r="GK337" s="180"/>
      <c r="GL337" s="577"/>
      <c r="GM337" s="180"/>
      <c r="GN337" s="577"/>
      <c r="GO337" s="180"/>
      <c r="GP337" s="577"/>
      <c r="GQ337" s="181"/>
      <c r="GR337" s="181"/>
      <c r="GS337" s="181"/>
      <c r="GT337" s="181"/>
      <c r="GU337" s="181"/>
      <c r="GV337" s="181"/>
      <c r="GW337" s="181"/>
      <c r="GX337" s="181"/>
      <c r="GY337" s="181"/>
      <c r="GZ337" s="181"/>
      <c r="HA337" s="181"/>
      <c r="HB337" s="181"/>
      <c r="HC337" s="181"/>
      <c r="HD337" s="181"/>
      <c r="HE337" s="181"/>
      <c r="HF337" s="181"/>
      <c r="HG337" s="181"/>
      <c r="HH337" s="181"/>
      <c r="HI337" s="181"/>
      <c r="HJ337" s="181"/>
      <c r="HK337" s="181"/>
      <c r="HL337" s="181"/>
      <c r="HM337" s="181"/>
      <c r="HN337" s="181"/>
      <c r="HO337" s="181"/>
      <c r="HP337" s="181"/>
      <c r="HQ337" s="181"/>
      <c r="HR337" s="181"/>
      <c r="HS337" s="181"/>
      <c r="HT337" s="181"/>
      <c r="HU337" s="181"/>
      <c r="HV337" s="181"/>
      <c r="HW337" s="181"/>
      <c r="HX337" s="181"/>
      <c r="HY337" s="181"/>
      <c r="HZ337" s="181"/>
      <c r="IA337" s="181"/>
      <c r="IB337" s="181"/>
      <c r="IC337" s="181"/>
      <c r="ID337" s="181"/>
      <c r="IE337" s="321"/>
      <c r="IF337" s="183"/>
      <c r="IG337" s="183"/>
      <c r="IH337" s="183"/>
      <c r="II337" s="251"/>
      <c r="IJ337" s="251"/>
      <c r="IK337" s="251"/>
      <c r="IL337" s="251"/>
      <c r="IM337" s="251"/>
      <c r="IN337" s="251"/>
      <c r="IO337" s="251"/>
    </row>
    <row r="338" spans="2:249" s="329" customFormat="1" ht="91.5" hidden="1" customHeight="1" x14ac:dyDescent="0.25">
      <c r="B338" s="241"/>
      <c r="C338" s="172" t="s">
        <v>524</v>
      </c>
      <c r="D338" s="325"/>
      <c r="E338" s="181"/>
      <c r="F338" s="181"/>
      <c r="G338" s="181"/>
      <c r="H338" s="181"/>
      <c r="I338" s="189"/>
      <c r="J338" s="189"/>
      <c r="K338" s="181"/>
      <c r="L338" s="181"/>
      <c r="M338" s="181"/>
      <c r="N338" s="181"/>
      <c r="O338" s="189"/>
      <c r="P338" s="189"/>
      <c r="Q338" s="181"/>
      <c r="R338" s="181"/>
      <c r="S338" s="181"/>
      <c r="T338" s="181"/>
      <c r="U338" s="181"/>
      <c r="V338" s="181"/>
      <c r="W338" s="181"/>
      <c r="X338" s="189"/>
      <c r="Y338" s="189"/>
      <c r="Z338" s="181"/>
      <c r="AA338" s="181"/>
      <c r="AB338" s="181"/>
      <c r="AC338" s="181"/>
      <c r="AD338" s="181"/>
      <c r="AE338" s="181"/>
      <c r="AF338" s="181"/>
      <c r="AG338" s="181"/>
      <c r="AH338" s="181"/>
      <c r="AI338" s="181"/>
      <c r="AJ338" s="181"/>
      <c r="AK338" s="181"/>
      <c r="AL338" s="181"/>
      <c r="AM338" s="483"/>
      <c r="AN338" s="483"/>
      <c r="AO338" s="182"/>
      <c r="AP338" s="483"/>
      <c r="AQ338" s="483"/>
      <c r="AR338" s="182"/>
      <c r="AS338" s="181"/>
      <c r="AT338" s="181"/>
      <c r="AU338" s="181"/>
      <c r="AV338" s="181"/>
      <c r="AW338" s="189"/>
      <c r="AX338" s="189"/>
      <c r="AY338" s="181"/>
      <c r="AZ338" s="181"/>
      <c r="BA338" s="181"/>
      <c r="BB338" s="181"/>
      <c r="BC338" s="181"/>
      <c r="BD338" s="181"/>
      <c r="BE338" s="181"/>
      <c r="BF338" s="189"/>
      <c r="BG338" s="189"/>
      <c r="BH338" s="181"/>
      <c r="BI338" s="181"/>
      <c r="BJ338" s="181"/>
      <c r="BK338" s="182"/>
      <c r="BL338" s="181"/>
      <c r="BM338" s="181"/>
      <c r="BN338" s="181"/>
      <c r="BO338" s="181"/>
      <c r="BP338" s="181"/>
      <c r="BQ338" s="181"/>
      <c r="BR338" s="181"/>
      <c r="BS338" s="181"/>
      <c r="BT338" s="181"/>
      <c r="BU338" s="181"/>
      <c r="BV338" s="181"/>
      <c r="BW338" s="181"/>
      <c r="BX338" s="181"/>
      <c r="BY338" s="181"/>
      <c r="BZ338" s="189"/>
      <c r="CA338" s="189"/>
      <c r="CB338" s="181"/>
      <c r="CC338" s="181"/>
      <c r="CD338" s="181"/>
      <c r="CE338" s="182"/>
      <c r="CF338" s="181"/>
      <c r="CG338" s="181"/>
      <c r="CH338" s="181"/>
      <c r="CI338" s="181"/>
      <c r="CJ338" s="181"/>
      <c r="CK338" s="181"/>
      <c r="CL338" s="189"/>
      <c r="CM338" s="189"/>
      <c r="CN338" s="181"/>
      <c r="CO338" s="189"/>
      <c r="CP338" s="189"/>
      <c r="CQ338" s="181"/>
      <c r="CR338" s="181"/>
      <c r="CS338" s="181"/>
      <c r="CT338" s="181"/>
      <c r="CU338" s="181"/>
      <c r="CV338" s="181"/>
      <c r="CW338" s="181"/>
      <c r="CX338" s="181"/>
      <c r="CY338" s="181"/>
      <c r="CZ338" s="181"/>
      <c r="DA338" s="181"/>
      <c r="DB338" s="181"/>
      <c r="DC338" s="181"/>
      <c r="DD338" s="181"/>
      <c r="DE338" s="181"/>
      <c r="DF338" s="181"/>
      <c r="DG338" s="181"/>
      <c r="DH338" s="181"/>
      <c r="DI338" s="181"/>
      <c r="DJ338" s="181"/>
      <c r="DK338" s="181"/>
      <c r="DL338" s="181"/>
      <c r="DM338" s="181"/>
      <c r="DN338" s="181"/>
      <c r="DO338" s="181"/>
      <c r="DP338" s="181"/>
      <c r="DQ338" s="181"/>
      <c r="DR338" s="181"/>
      <c r="DS338" s="181"/>
      <c r="DT338" s="181"/>
      <c r="DU338" s="181"/>
      <c r="DV338" s="181"/>
      <c r="DW338" s="181"/>
      <c r="DX338" s="181"/>
      <c r="DY338" s="181"/>
      <c r="DZ338" s="181"/>
      <c r="EA338" s="181"/>
      <c r="EB338" s="181"/>
      <c r="EC338" s="181"/>
      <c r="ED338" s="181"/>
      <c r="EE338" s="181"/>
      <c r="EF338" s="181"/>
      <c r="EG338" s="181"/>
      <c r="EH338" s="181"/>
      <c r="EI338" s="181"/>
      <c r="EJ338" s="181"/>
      <c r="EK338" s="181"/>
      <c r="EL338" s="181"/>
      <c r="EM338" s="181"/>
      <c r="EN338" s="181"/>
      <c r="EO338" s="181"/>
      <c r="EP338" s="181"/>
      <c r="EQ338" s="181"/>
      <c r="ER338" s="181"/>
      <c r="ES338" s="181"/>
      <c r="ET338" s="181"/>
      <c r="EU338" s="181"/>
      <c r="EV338" s="181"/>
      <c r="EW338" s="181"/>
      <c r="EX338" s="181"/>
      <c r="EY338" s="181"/>
      <c r="EZ338" s="181"/>
      <c r="FA338" s="181"/>
      <c r="FB338" s="181"/>
      <c r="FC338" s="180">
        <f t="shared" si="749"/>
        <v>9138.1015200000002</v>
      </c>
      <c r="FD338" s="180"/>
      <c r="FE338" s="163">
        <v>9138.1015200000002</v>
      </c>
      <c r="FF338" s="180"/>
      <c r="FG338" s="180"/>
      <c r="FH338" s="180"/>
      <c r="FI338" s="180"/>
      <c r="FJ338" s="180"/>
      <c r="FK338" s="180"/>
      <c r="FL338" s="180"/>
      <c r="FM338" s="180"/>
      <c r="FN338" s="180"/>
      <c r="FO338" s="180"/>
      <c r="FP338" s="180"/>
      <c r="FQ338" s="180"/>
      <c r="FR338" s="180"/>
      <c r="FS338" s="180">
        <f t="shared" si="750"/>
        <v>0</v>
      </c>
      <c r="FT338" s="577">
        <f t="shared" si="640"/>
        <v>0</v>
      </c>
      <c r="FU338" s="180"/>
      <c r="FV338" s="577">
        <v>0</v>
      </c>
      <c r="FW338" s="180"/>
      <c r="FX338" s="575">
        <f t="shared" si="746"/>
        <v>0</v>
      </c>
      <c r="FY338" s="181"/>
      <c r="FZ338" s="672"/>
      <c r="GA338" s="180">
        <f t="shared" si="751"/>
        <v>0</v>
      </c>
      <c r="GB338" s="577">
        <f t="shared" si="747"/>
        <v>0</v>
      </c>
      <c r="GC338" s="180"/>
      <c r="GD338" s="577"/>
      <c r="GE338" s="181"/>
      <c r="GF338" s="577">
        <f t="shared" ref="GF338:GF345" si="753">GE338/FE338</f>
        <v>0</v>
      </c>
      <c r="GG338" s="180"/>
      <c r="GH338" s="577"/>
      <c r="GI338" s="180">
        <f t="shared" si="752"/>
        <v>0</v>
      </c>
      <c r="GJ338" s="577">
        <f t="shared" si="658"/>
        <v>0</v>
      </c>
      <c r="GK338" s="180"/>
      <c r="GL338" s="577"/>
      <c r="GM338" s="180"/>
      <c r="GN338" s="577">
        <f t="shared" si="748"/>
        <v>0</v>
      </c>
      <c r="GO338" s="180"/>
      <c r="GP338" s="577"/>
      <c r="GQ338" s="181"/>
      <c r="GR338" s="181"/>
      <c r="GS338" s="181"/>
      <c r="GT338" s="181"/>
      <c r="GU338" s="181"/>
      <c r="GV338" s="181"/>
      <c r="GW338" s="181"/>
      <c r="GX338" s="181"/>
      <c r="GY338" s="181"/>
      <c r="GZ338" s="181"/>
      <c r="HA338" s="181"/>
      <c r="HB338" s="181"/>
      <c r="HC338" s="181"/>
      <c r="HD338" s="181"/>
      <c r="HE338" s="181"/>
      <c r="HF338" s="181"/>
      <c r="HG338" s="181"/>
      <c r="HH338" s="181"/>
      <c r="HI338" s="181"/>
      <c r="HJ338" s="181"/>
      <c r="HK338" s="181"/>
      <c r="HL338" s="181"/>
      <c r="HM338" s="181"/>
      <c r="HN338" s="181"/>
      <c r="HO338" s="181"/>
      <c r="HP338" s="181"/>
      <c r="HQ338" s="181"/>
      <c r="HR338" s="181"/>
      <c r="HS338" s="181"/>
      <c r="HT338" s="181"/>
      <c r="HU338" s="181"/>
      <c r="HV338" s="181"/>
      <c r="HW338" s="181"/>
      <c r="HX338" s="181"/>
      <c r="HY338" s="181"/>
      <c r="HZ338" s="181"/>
      <c r="IA338" s="181"/>
      <c r="IB338" s="181"/>
      <c r="IC338" s="181"/>
      <c r="ID338" s="181"/>
      <c r="IE338" s="321"/>
      <c r="IF338" s="183"/>
      <c r="IG338" s="183"/>
      <c r="IH338" s="183"/>
      <c r="II338" s="251"/>
      <c r="IJ338" s="251"/>
      <c r="IK338" s="251"/>
      <c r="IL338" s="251"/>
      <c r="IM338" s="251"/>
      <c r="IN338" s="251"/>
      <c r="IO338" s="251"/>
    </row>
    <row r="339" spans="2:249" s="329" customFormat="1" ht="96" hidden="1" customHeight="1" x14ac:dyDescent="0.25">
      <c r="B339" s="241"/>
      <c r="C339" s="172" t="s">
        <v>530</v>
      </c>
      <c r="D339" s="325"/>
      <c r="E339" s="181"/>
      <c r="F339" s="181"/>
      <c r="G339" s="181"/>
      <c r="H339" s="181"/>
      <c r="I339" s="189"/>
      <c r="J339" s="189"/>
      <c r="K339" s="181"/>
      <c r="L339" s="181"/>
      <c r="M339" s="181"/>
      <c r="N339" s="181"/>
      <c r="O339" s="189"/>
      <c r="P339" s="189"/>
      <c r="Q339" s="181"/>
      <c r="R339" s="181"/>
      <c r="S339" s="181"/>
      <c r="T339" s="181"/>
      <c r="U339" s="181"/>
      <c r="V339" s="181"/>
      <c r="W339" s="181"/>
      <c r="X339" s="189"/>
      <c r="Y339" s="189"/>
      <c r="Z339" s="181"/>
      <c r="AA339" s="181"/>
      <c r="AB339" s="181"/>
      <c r="AC339" s="181"/>
      <c r="AD339" s="181"/>
      <c r="AE339" s="181"/>
      <c r="AF339" s="181"/>
      <c r="AG339" s="181"/>
      <c r="AH339" s="181"/>
      <c r="AI339" s="181"/>
      <c r="AJ339" s="181"/>
      <c r="AK339" s="181"/>
      <c r="AL339" s="181"/>
      <c r="AM339" s="483"/>
      <c r="AN339" s="483"/>
      <c r="AO339" s="182"/>
      <c r="AP339" s="483"/>
      <c r="AQ339" s="483"/>
      <c r="AR339" s="182"/>
      <c r="AS339" s="181"/>
      <c r="AT339" s="181"/>
      <c r="AU339" s="181"/>
      <c r="AV339" s="181"/>
      <c r="AW339" s="189"/>
      <c r="AX339" s="189"/>
      <c r="AY339" s="181"/>
      <c r="AZ339" s="181"/>
      <c r="BA339" s="181"/>
      <c r="BB339" s="181"/>
      <c r="BC339" s="181"/>
      <c r="BD339" s="181"/>
      <c r="BE339" s="181"/>
      <c r="BF339" s="189"/>
      <c r="BG339" s="189"/>
      <c r="BH339" s="181"/>
      <c r="BI339" s="181"/>
      <c r="BJ339" s="181"/>
      <c r="BK339" s="182"/>
      <c r="BL339" s="181"/>
      <c r="BM339" s="181"/>
      <c r="BN339" s="181"/>
      <c r="BO339" s="181"/>
      <c r="BP339" s="181"/>
      <c r="BQ339" s="181"/>
      <c r="BR339" s="181"/>
      <c r="BS339" s="181"/>
      <c r="BT339" s="181"/>
      <c r="BU339" s="181"/>
      <c r="BV339" s="181"/>
      <c r="BW339" s="181"/>
      <c r="BX339" s="181"/>
      <c r="BY339" s="181"/>
      <c r="BZ339" s="189"/>
      <c r="CA339" s="189"/>
      <c r="CB339" s="181"/>
      <c r="CC339" s="181"/>
      <c r="CD339" s="181"/>
      <c r="CE339" s="182"/>
      <c r="CF339" s="181"/>
      <c r="CG339" s="181"/>
      <c r="CH339" s="181"/>
      <c r="CI339" s="181"/>
      <c r="CJ339" s="181"/>
      <c r="CK339" s="181"/>
      <c r="CL339" s="189"/>
      <c r="CM339" s="189"/>
      <c r="CN339" s="181"/>
      <c r="CO339" s="189"/>
      <c r="CP339" s="189"/>
      <c r="CQ339" s="181"/>
      <c r="CR339" s="181"/>
      <c r="CS339" s="181"/>
      <c r="CT339" s="181"/>
      <c r="CU339" s="181"/>
      <c r="CV339" s="181"/>
      <c r="CW339" s="181"/>
      <c r="CX339" s="181"/>
      <c r="CY339" s="181"/>
      <c r="CZ339" s="181"/>
      <c r="DA339" s="181"/>
      <c r="DB339" s="181"/>
      <c r="DC339" s="181"/>
      <c r="DD339" s="181"/>
      <c r="DE339" s="181"/>
      <c r="DF339" s="181"/>
      <c r="DG339" s="181"/>
      <c r="DH339" s="181"/>
      <c r="DI339" s="181"/>
      <c r="DJ339" s="181"/>
      <c r="DK339" s="181"/>
      <c r="DL339" s="181"/>
      <c r="DM339" s="181"/>
      <c r="DN339" s="181"/>
      <c r="DO339" s="181"/>
      <c r="DP339" s="181"/>
      <c r="DQ339" s="181"/>
      <c r="DR339" s="181"/>
      <c r="DS339" s="181"/>
      <c r="DT339" s="181"/>
      <c r="DU339" s="181"/>
      <c r="DV339" s="181"/>
      <c r="DW339" s="181"/>
      <c r="DX339" s="181"/>
      <c r="DY339" s="181"/>
      <c r="DZ339" s="181"/>
      <c r="EA339" s="181"/>
      <c r="EB339" s="181"/>
      <c r="EC339" s="181"/>
      <c r="ED339" s="181"/>
      <c r="EE339" s="181"/>
      <c r="EF339" s="181"/>
      <c r="EG339" s="181"/>
      <c r="EH339" s="181"/>
      <c r="EI339" s="181"/>
      <c r="EJ339" s="181"/>
      <c r="EK339" s="181"/>
      <c r="EL339" s="181"/>
      <c r="EM339" s="181"/>
      <c r="EN339" s="181"/>
      <c r="EO339" s="181"/>
      <c r="EP339" s="181"/>
      <c r="EQ339" s="181"/>
      <c r="ER339" s="181"/>
      <c r="ES339" s="181"/>
      <c r="ET339" s="181"/>
      <c r="EU339" s="181"/>
      <c r="EV339" s="181"/>
      <c r="EW339" s="181"/>
      <c r="EX339" s="181"/>
      <c r="EY339" s="181"/>
      <c r="EZ339" s="181"/>
      <c r="FA339" s="181"/>
      <c r="FB339" s="181"/>
      <c r="FC339" s="180">
        <f t="shared" si="749"/>
        <v>157413.71</v>
      </c>
      <c r="FD339" s="180"/>
      <c r="FE339" s="163">
        <v>157413.71</v>
      </c>
      <c r="FF339" s="180"/>
      <c r="FG339" s="180"/>
      <c r="FH339" s="180"/>
      <c r="FI339" s="180"/>
      <c r="FJ339" s="180"/>
      <c r="FK339" s="180"/>
      <c r="FL339" s="180"/>
      <c r="FM339" s="180"/>
      <c r="FN339" s="180"/>
      <c r="FO339" s="180"/>
      <c r="FP339" s="180"/>
      <c r="FQ339" s="180"/>
      <c r="FR339" s="180"/>
      <c r="FS339" s="180">
        <f t="shared" si="750"/>
        <v>74485.591509999998</v>
      </c>
      <c r="FT339" s="577">
        <f t="shared" si="640"/>
        <v>0.47318363508489825</v>
      </c>
      <c r="FU339" s="180"/>
      <c r="FV339" s="577">
        <v>0</v>
      </c>
      <c r="FW339" s="180">
        <f>'[12]на 1июля'!$FW$337</f>
        <v>74485.591509999998</v>
      </c>
      <c r="FX339" s="575">
        <f t="shared" si="746"/>
        <v>0.47318363508489825</v>
      </c>
      <c r="FY339" s="181"/>
      <c r="FZ339" s="672"/>
      <c r="GA339" s="180">
        <f t="shared" si="751"/>
        <v>62397.199719999997</v>
      </c>
      <c r="GB339" s="577">
        <f t="shared" si="747"/>
        <v>0.39638986794733444</v>
      </c>
      <c r="GC339" s="180"/>
      <c r="GD339" s="577"/>
      <c r="GE339" s="181">
        <v>62397.199719999997</v>
      </c>
      <c r="GF339" s="577">
        <f t="shared" si="753"/>
        <v>0.39638986794733444</v>
      </c>
      <c r="GG339" s="180"/>
      <c r="GH339" s="577"/>
      <c r="GI339" s="180">
        <f t="shared" si="752"/>
        <v>118807.8</v>
      </c>
      <c r="GJ339" s="577">
        <f t="shared" si="658"/>
        <v>0.75474874456614993</v>
      </c>
      <c r="GK339" s="180"/>
      <c r="GL339" s="577"/>
      <c r="GM339" s="180">
        <f>'[12]на 1июля'!$GM$337</f>
        <v>118807.8</v>
      </c>
      <c r="GN339" s="577">
        <f t="shared" si="748"/>
        <v>0.75474874456614993</v>
      </c>
      <c r="GO339" s="180"/>
      <c r="GP339" s="577"/>
      <c r="GQ339" s="181"/>
      <c r="GR339" s="181"/>
      <c r="GS339" s="181"/>
      <c r="GT339" s="181"/>
      <c r="GU339" s="181"/>
      <c r="GV339" s="181"/>
      <c r="GW339" s="181"/>
      <c r="GX339" s="181"/>
      <c r="GY339" s="181"/>
      <c r="GZ339" s="181"/>
      <c r="HA339" s="181"/>
      <c r="HB339" s="181"/>
      <c r="HC339" s="181"/>
      <c r="HD339" s="181"/>
      <c r="HE339" s="181"/>
      <c r="HF339" s="181"/>
      <c r="HG339" s="181"/>
      <c r="HH339" s="181"/>
      <c r="HI339" s="181"/>
      <c r="HJ339" s="181"/>
      <c r="HK339" s="181"/>
      <c r="HL339" s="181"/>
      <c r="HM339" s="181"/>
      <c r="HN339" s="181"/>
      <c r="HO339" s="181"/>
      <c r="HP339" s="181"/>
      <c r="HQ339" s="181"/>
      <c r="HR339" s="181"/>
      <c r="HS339" s="181"/>
      <c r="HT339" s="181"/>
      <c r="HU339" s="181"/>
      <c r="HV339" s="181"/>
      <c r="HW339" s="181"/>
      <c r="HX339" s="181"/>
      <c r="HY339" s="181"/>
      <c r="HZ339" s="181"/>
      <c r="IA339" s="181"/>
      <c r="IB339" s="181"/>
      <c r="IC339" s="181"/>
      <c r="ID339" s="181"/>
      <c r="IE339" s="321"/>
      <c r="IF339" s="183"/>
      <c r="IG339" s="183"/>
      <c r="IH339" s="183"/>
      <c r="II339" s="251"/>
      <c r="IJ339" s="251"/>
      <c r="IK339" s="251"/>
      <c r="IL339" s="251"/>
      <c r="IM339" s="251"/>
      <c r="IN339" s="251"/>
      <c r="IO339" s="251"/>
    </row>
    <row r="340" spans="2:249" s="329" customFormat="1" ht="125.25" hidden="1" customHeight="1" x14ac:dyDescent="0.25">
      <c r="B340" s="241"/>
      <c r="C340" s="172" t="s">
        <v>472</v>
      </c>
      <c r="D340" s="325"/>
      <c r="E340" s="181"/>
      <c r="F340" s="181"/>
      <c r="G340" s="181"/>
      <c r="H340" s="181"/>
      <c r="I340" s="189"/>
      <c r="J340" s="189"/>
      <c r="K340" s="181"/>
      <c r="L340" s="181"/>
      <c r="M340" s="181"/>
      <c r="N340" s="181"/>
      <c r="O340" s="189"/>
      <c r="P340" s="189"/>
      <c r="Q340" s="181"/>
      <c r="R340" s="181"/>
      <c r="S340" s="181"/>
      <c r="T340" s="181"/>
      <c r="U340" s="181"/>
      <c r="V340" s="181"/>
      <c r="W340" s="181"/>
      <c r="X340" s="189"/>
      <c r="Y340" s="189"/>
      <c r="Z340" s="181"/>
      <c r="AA340" s="181"/>
      <c r="AB340" s="181"/>
      <c r="AC340" s="181"/>
      <c r="AD340" s="181"/>
      <c r="AE340" s="181"/>
      <c r="AF340" s="181"/>
      <c r="AG340" s="181"/>
      <c r="AH340" s="181"/>
      <c r="AI340" s="181"/>
      <c r="AJ340" s="181"/>
      <c r="AK340" s="181"/>
      <c r="AL340" s="181"/>
      <c r="AM340" s="483"/>
      <c r="AN340" s="483"/>
      <c r="AO340" s="182"/>
      <c r="AP340" s="483"/>
      <c r="AQ340" s="483"/>
      <c r="AR340" s="182"/>
      <c r="AS340" s="181"/>
      <c r="AT340" s="181"/>
      <c r="AU340" s="181"/>
      <c r="AV340" s="181"/>
      <c r="AW340" s="189"/>
      <c r="AX340" s="189"/>
      <c r="AY340" s="181"/>
      <c r="AZ340" s="181"/>
      <c r="BA340" s="181"/>
      <c r="BB340" s="181"/>
      <c r="BC340" s="181"/>
      <c r="BD340" s="181"/>
      <c r="BE340" s="181"/>
      <c r="BF340" s="189"/>
      <c r="BG340" s="189"/>
      <c r="BH340" s="181"/>
      <c r="BI340" s="181"/>
      <c r="BJ340" s="181"/>
      <c r="BK340" s="182"/>
      <c r="BL340" s="181"/>
      <c r="BM340" s="181"/>
      <c r="BN340" s="181"/>
      <c r="BO340" s="181"/>
      <c r="BP340" s="181"/>
      <c r="BQ340" s="181"/>
      <c r="BR340" s="181"/>
      <c r="BS340" s="181"/>
      <c r="BT340" s="181"/>
      <c r="BU340" s="181"/>
      <c r="BV340" s="181"/>
      <c r="BW340" s="181"/>
      <c r="BX340" s="181"/>
      <c r="BY340" s="181"/>
      <c r="BZ340" s="189"/>
      <c r="CA340" s="189"/>
      <c r="CB340" s="181"/>
      <c r="CC340" s="181"/>
      <c r="CD340" s="181"/>
      <c r="CE340" s="182"/>
      <c r="CF340" s="181"/>
      <c r="CG340" s="181"/>
      <c r="CH340" s="181"/>
      <c r="CI340" s="181"/>
      <c r="CJ340" s="181"/>
      <c r="CK340" s="181"/>
      <c r="CL340" s="189"/>
      <c r="CM340" s="189"/>
      <c r="CN340" s="181"/>
      <c r="CO340" s="189"/>
      <c r="CP340" s="189"/>
      <c r="CQ340" s="181"/>
      <c r="CR340" s="181"/>
      <c r="CS340" s="181"/>
      <c r="CT340" s="181"/>
      <c r="CU340" s="181"/>
      <c r="CV340" s="181"/>
      <c r="CW340" s="181"/>
      <c r="CX340" s="181"/>
      <c r="CY340" s="181"/>
      <c r="CZ340" s="181"/>
      <c r="DA340" s="181"/>
      <c r="DB340" s="181"/>
      <c r="DC340" s="181"/>
      <c r="DD340" s="181"/>
      <c r="DE340" s="181"/>
      <c r="DF340" s="181"/>
      <c r="DG340" s="181"/>
      <c r="DH340" s="181"/>
      <c r="DI340" s="181"/>
      <c r="DJ340" s="181"/>
      <c r="DK340" s="181"/>
      <c r="DL340" s="181"/>
      <c r="DM340" s="181"/>
      <c r="DN340" s="181"/>
      <c r="DO340" s="181"/>
      <c r="DP340" s="181"/>
      <c r="DQ340" s="181"/>
      <c r="DR340" s="181"/>
      <c r="DS340" s="181"/>
      <c r="DT340" s="181"/>
      <c r="DU340" s="181"/>
      <c r="DV340" s="181"/>
      <c r="DW340" s="181"/>
      <c r="DX340" s="181"/>
      <c r="DY340" s="181"/>
      <c r="DZ340" s="181"/>
      <c r="EA340" s="181"/>
      <c r="EB340" s="181"/>
      <c r="EC340" s="181"/>
      <c r="ED340" s="181"/>
      <c r="EE340" s="181"/>
      <c r="EF340" s="181"/>
      <c r="EG340" s="181"/>
      <c r="EH340" s="181"/>
      <c r="EI340" s="181"/>
      <c r="EJ340" s="181"/>
      <c r="EK340" s="181"/>
      <c r="EL340" s="181"/>
      <c r="EM340" s="181"/>
      <c r="EN340" s="181"/>
      <c r="EO340" s="181"/>
      <c r="EP340" s="181"/>
      <c r="EQ340" s="181"/>
      <c r="ER340" s="181"/>
      <c r="ES340" s="181"/>
      <c r="ET340" s="181"/>
      <c r="EU340" s="181"/>
      <c r="EV340" s="181"/>
      <c r="EW340" s="181"/>
      <c r="EX340" s="181"/>
      <c r="EY340" s="181"/>
      <c r="EZ340" s="181"/>
      <c r="FA340" s="181"/>
      <c r="FB340" s="181"/>
      <c r="FC340" s="180">
        <f t="shared" si="749"/>
        <v>10135.584000000001</v>
      </c>
      <c r="FD340" s="180"/>
      <c r="FE340" s="163">
        <v>10135.584000000001</v>
      </c>
      <c r="FF340" s="180"/>
      <c r="FG340" s="180"/>
      <c r="FH340" s="180"/>
      <c r="FI340" s="180"/>
      <c r="FJ340" s="180"/>
      <c r="FK340" s="180"/>
      <c r="FL340" s="180"/>
      <c r="FM340" s="180"/>
      <c r="FN340" s="180"/>
      <c r="FO340" s="180"/>
      <c r="FP340" s="180"/>
      <c r="FQ340" s="180"/>
      <c r="FR340" s="180"/>
      <c r="FS340" s="180">
        <f t="shared" si="750"/>
        <v>6831.81</v>
      </c>
      <c r="FT340" s="577">
        <f t="shared" si="640"/>
        <v>0.67404206802489131</v>
      </c>
      <c r="FU340" s="180"/>
      <c r="FV340" s="577">
        <v>0</v>
      </c>
      <c r="FW340" s="180">
        <f>'[12]на 1июля'!$FW$338</f>
        <v>6831.81</v>
      </c>
      <c r="FX340" s="575">
        <f t="shared" si="746"/>
        <v>0.67404206802489131</v>
      </c>
      <c r="FY340" s="181"/>
      <c r="FZ340" s="672"/>
      <c r="GA340" s="180">
        <f t="shared" si="751"/>
        <v>6057.7740000000003</v>
      </c>
      <c r="GB340" s="577">
        <f t="shared" si="747"/>
        <v>0.59767389821839567</v>
      </c>
      <c r="GC340" s="180"/>
      <c r="GD340" s="577"/>
      <c r="GE340" s="181">
        <v>6057.7740000000003</v>
      </c>
      <c r="GF340" s="577">
        <f t="shared" si="753"/>
        <v>0.59767389821839567</v>
      </c>
      <c r="GG340" s="180"/>
      <c r="GH340" s="577"/>
      <c r="GI340" s="180">
        <f t="shared" si="752"/>
        <v>9762.9459999999999</v>
      </c>
      <c r="GJ340" s="577">
        <f t="shared" si="658"/>
        <v>0.96323467892920622</v>
      </c>
      <c r="GK340" s="180"/>
      <c r="GL340" s="577"/>
      <c r="GM340" s="180">
        <f>'[12]на 1июля'!$GM$338</f>
        <v>9762.9459999999999</v>
      </c>
      <c r="GN340" s="577">
        <f t="shared" si="748"/>
        <v>0.96323467892920622</v>
      </c>
      <c r="GO340" s="180"/>
      <c r="GP340" s="577"/>
      <c r="GQ340" s="181"/>
      <c r="GR340" s="181"/>
      <c r="GS340" s="181"/>
      <c r="GT340" s="181"/>
      <c r="GU340" s="181"/>
      <c r="GV340" s="181"/>
      <c r="GW340" s="181"/>
      <c r="GX340" s="181"/>
      <c r="GY340" s="181"/>
      <c r="GZ340" s="181"/>
      <c r="HA340" s="181"/>
      <c r="HB340" s="181"/>
      <c r="HC340" s="181"/>
      <c r="HD340" s="181"/>
      <c r="HE340" s="181"/>
      <c r="HF340" s="181"/>
      <c r="HG340" s="181"/>
      <c r="HH340" s="181"/>
      <c r="HI340" s="181"/>
      <c r="HJ340" s="181"/>
      <c r="HK340" s="181"/>
      <c r="HL340" s="181"/>
      <c r="HM340" s="181"/>
      <c r="HN340" s="181"/>
      <c r="HO340" s="181"/>
      <c r="HP340" s="181"/>
      <c r="HQ340" s="181"/>
      <c r="HR340" s="181"/>
      <c r="HS340" s="181"/>
      <c r="HT340" s="181"/>
      <c r="HU340" s="181"/>
      <c r="HV340" s="181"/>
      <c r="HW340" s="181"/>
      <c r="HX340" s="181"/>
      <c r="HY340" s="181"/>
      <c r="HZ340" s="181"/>
      <c r="IA340" s="181"/>
      <c r="IB340" s="181"/>
      <c r="IC340" s="181"/>
      <c r="ID340" s="181"/>
      <c r="IE340" s="321"/>
      <c r="IF340" s="183"/>
      <c r="IG340" s="183"/>
      <c r="IH340" s="183"/>
      <c r="II340" s="251"/>
      <c r="IJ340" s="251"/>
      <c r="IK340" s="251"/>
      <c r="IL340" s="251"/>
      <c r="IM340" s="251"/>
      <c r="IN340" s="251"/>
      <c r="IO340" s="251"/>
    </row>
    <row r="341" spans="2:249" s="329" customFormat="1" ht="68.25" hidden="1" customHeight="1" x14ac:dyDescent="0.25">
      <c r="B341" s="241"/>
      <c r="C341" s="266" t="s">
        <v>473</v>
      </c>
      <c r="D341" s="325"/>
      <c r="E341" s="181"/>
      <c r="F341" s="181"/>
      <c r="G341" s="181"/>
      <c r="H341" s="181"/>
      <c r="I341" s="189"/>
      <c r="J341" s="189"/>
      <c r="K341" s="181"/>
      <c r="L341" s="181"/>
      <c r="M341" s="181"/>
      <c r="N341" s="181"/>
      <c r="O341" s="189"/>
      <c r="P341" s="189"/>
      <c r="Q341" s="181"/>
      <c r="R341" s="181"/>
      <c r="S341" s="181"/>
      <c r="T341" s="181"/>
      <c r="U341" s="181"/>
      <c r="V341" s="181"/>
      <c r="W341" s="181"/>
      <c r="X341" s="189"/>
      <c r="Y341" s="189"/>
      <c r="Z341" s="181"/>
      <c r="AA341" s="181"/>
      <c r="AB341" s="181"/>
      <c r="AC341" s="181"/>
      <c r="AD341" s="181"/>
      <c r="AE341" s="181"/>
      <c r="AF341" s="181"/>
      <c r="AG341" s="181"/>
      <c r="AH341" s="181"/>
      <c r="AI341" s="181"/>
      <c r="AJ341" s="181"/>
      <c r="AK341" s="181"/>
      <c r="AL341" s="181"/>
      <c r="AM341" s="483"/>
      <c r="AN341" s="483"/>
      <c r="AO341" s="182"/>
      <c r="AP341" s="483"/>
      <c r="AQ341" s="483"/>
      <c r="AR341" s="182"/>
      <c r="AS341" s="181"/>
      <c r="AT341" s="181"/>
      <c r="AU341" s="181"/>
      <c r="AV341" s="181"/>
      <c r="AW341" s="189"/>
      <c r="AX341" s="189"/>
      <c r="AY341" s="181"/>
      <c r="AZ341" s="181"/>
      <c r="BA341" s="181"/>
      <c r="BB341" s="181"/>
      <c r="BC341" s="181"/>
      <c r="BD341" s="181"/>
      <c r="BE341" s="181"/>
      <c r="BF341" s="189"/>
      <c r="BG341" s="189"/>
      <c r="BH341" s="181"/>
      <c r="BI341" s="181"/>
      <c r="BJ341" s="181"/>
      <c r="BK341" s="182"/>
      <c r="BL341" s="181"/>
      <c r="BM341" s="181"/>
      <c r="BN341" s="181"/>
      <c r="BO341" s="181"/>
      <c r="BP341" s="181"/>
      <c r="BQ341" s="181"/>
      <c r="BR341" s="181"/>
      <c r="BS341" s="181"/>
      <c r="BT341" s="181"/>
      <c r="BU341" s="181"/>
      <c r="BV341" s="181"/>
      <c r="BW341" s="181"/>
      <c r="BX341" s="181"/>
      <c r="BY341" s="181"/>
      <c r="BZ341" s="189"/>
      <c r="CA341" s="189"/>
      <c r="CB341" s="181"/>
      <c r="CC341" s="181"/>
      <c r="CD341" s="181"/>
      <c r="CE341" s="182"/>
      <c r="CF341" s="181"/>
      <c r="CG341" s="181"/>
      <c r="CH341" s="181"/>
      <c r="CI341" s="181"/>
      <c r="CJ341" s="181"/>
      <c r="CK341" s="181"/>
      <c r="CL341" s="189"/>
      <c r="CM341" s="189"/>
      <c r="CN341" s="181"/>
      <c r="CO341" s="189"/>
      <c r="CP341" s="189"/>
      <c r="CQ341" s="181"/>
      <c r="CR341" s="181"/>
      <c r="CS341" s="181"/>
      <c r="CT341" s="181"/>
      <c r="CU341" s="181"/>
      <c r="CV341" s="181"/>
      <c r="CW341" s="181"/>
      <c r="CX341" s="181"/>
      <c r="CY341" s="181"/>
      <c r="CZ341" s="181"/>
      <c r="DA341" s="181"/>
      <c r="DB341" s="181"/>
      <c r="DC341" s="181"/>
      <c r="DD341" s="181"/>
      <c r="DE341" s="181"/>
      <c r="DF341" s="181"/>
      <c r="DG341" s="181"/>
      <c r="DH341" s="181"/>
      <c r="DI341" s="181"/>
      <c r="DJ341" s="181"/>
      <c r="DK341" s="181"/>
      <c r="DL341" s="181"/>
      <c r="DM341" s="181"/>
      <c r="DN341" s="181"/>
      <c r="DO341" s="181"/>
      <c r="DP341" s="181"/>
      <c r="DQ341" s="181"/>
      <c r="DR341" s="181"/>
      <c r="DS341" s="181"/>
      <c r="DT341" s="181"/>
      <c r="DU341" s="181"/>
      <c r="DV341" s="181"/>
      <c r="DW341" s="181"/>
      <c r="DX341" s="181"/>
      <c r="DY341" s="181"/>
      <c r="DZ341" s="181"/>
      <c r="EA341" s="181"/>
      <c r="EB341" s="181"/>
      <c r="EC341" s="181"/>
      <c r="ED341" s="181"/>
      <c r="EE341" s="181"/>
      <c r="EF341" s="181"/>
      <c r="EG341" s="181"/>
      <c r="EH341" s="181"/>
      <c r="EI341" s="181"/>
      <c r="EJ341" s="181"/>
      <c r="EK341" s="181"/>
      <c r="EL341" s="181"/>
      <c r="EM341" s="181"/>
      <c r="EN341" s="181"/>
      <c r="EO341" s="181"/>
      <c r="EP341" s="181"/>
      <c r="EQ341" s="181"/>
      <c r="ER341" s="181"/>
      <c r="ES341" s="181"/>
      <c r="ET341" s="181"/>
      <c r="EU341" s="181"/>
      <c r="EV341" s="181"/>
      <c r="EW341" s="181"/>
      <c r="EX341" s="181"/>
      <c r="EY341" s="181"/>
      <c r="EZ341" s="181"/>
      <c r="FA341" s="181"/>
      <c r="FB341" s="181"/>
      <c r="FC341" s="180">
        <f t="shared" si="749"/>
        <v>4907.4618899999996</v>
      </c>
      <c r="FD341" s="180"/>
      <c r="FE341" s="163">
        <v>4907.4618899999996</v>
      </c>
      <c r="FF341" s="180"/>
      <c r="FG341" s="180"/>
      <c r="FH341" s="180"/>
      <c r="FI341" s="180"/>
      <c r="FJ341" s="180"/>
      <c r="FK341" s="180"/>
      <c r="FL341" s="180"/>
      <c r="FM341" s="180"/>
      <c r="FN341" s="180"/>
      <c r="FO341" s="180"/>
      <c r="FP341" s="180"/>
      <c r="FQ341" s="180"/>
      <c r="FR341" s="180"/>
      <c r="FS341" s="180">
        <f t="shared" si="750"/>
        <v>0</v>
      </c>
      <c r="FT341" s="577">
        <f t="shared" si="640"/>
        <v>0</v>
      </c>
      <c r="FU341" s="180"/>
      <c r="FV341" s="577">
        <v>0</v>
      </c>
      <c r="FW341" s="180"/>
      <c r="FX341" s="575">
        <f t="shared" si="746"/>
        <v>0</v>
      </c>
      <c r="FY341" s="181"/>
      <c r="FZ341" s="672"/>
      <c r="GA341" s="180">
        <f t="shared" si="751"/>
        <v>0</v>
      </c>
      <c r="GB341" s="577">
        <f t="shared" si="747"/>
        <v>0</v>
      </c>
      <c r="GC341" s="180"/>
      <c r="GD341" s="577"/>
      <c r="GE341" s="181"/>
      <c r="GF341" s="577">
        <f t="shared" si="753"/>
        <v>0</v>
      </c>
      <c r="GG341" s="180"/>
      <c r="GH341" s="577"/>
      <c r="GI341" s="180">
        <f t="shared" si="752"/>
        <v>0</v>
      </c>
      <c r="GJ341" s="577">
        <f t="shared" si="658"/>
        <v>0</v>
      </c>
      <c r="GK341" s="180"/>
      <c r="GL341" s="577"/>
      <c r="GM341" s="180">
        <v>0</v>
      </c>
      <c r="GN341" s="577">
        <f t="shared" si="748"/>
        <v>0</v>
      </c>
      <c r="GO341" s="180"/>
      <c r="GP341" s="577"/>
      <c r="GQ341" s="181"/>
      <c r="GR341" s="181"/>
      <c r="GS341" s="181"/>
      <c r="GT341" s="181"/>
      <c r="GU341" s="181"/>
      <c r="GV341" s="181"/>
      <c r="GW341" s="181"/>
      <c r="GX341" s="181"/>
      <c r="GY341" s="181"/>
      <c r="GZ341" s="181"/>
      <c r="HA341" s="181"/>
      <c r="HB341" s="181"/>
      <c r="HC341" s="181"/>
      <c r="HD341" s="181"/>
      <c r="HE341" s="181"/>
      <c r="HF341" s="181"/>
      <c r="HG341" s="181"/>
      <c r="HH341" s="181"/>
      <c r="HI341" s="181"/>
      <c r="HJ341" s="181"/>
      <c r="HK341" s="181"/>
      <c r="HL341" s="181"/>
      <c r="HM341" s="181"/>
      <c r="HN341" s="181"/>
      <c r="HO341" s="181"/>
      <c r="HP341" s="181"/>
      <c r="HQ341" s="181"/>
      <c r="HR341" s="181"/>
      <c r="HS341" s="181"/>
      <c r="HT341" s="181"/>
      <c r="HU341" s="181"/>
      <c r="HV341" s="181"/>
      <c r="HW341" s="181"/>
      <c r="HX341" s="181"/>
      <c r="HY341" s="181"/>
      <c r="HZ341" s="181"/>
      <c r="IA341" s="181"/>
      <c r="IB341" s="181"/>
      <c r="IC341" s="181"/>
      <c r="ID341" s="181"/>
      <c r="IE341" s="321"/>
      <c r="IF341" s="183"/>
      <c r="IG341" s="183"/>
      <c r="IH341" s="183"/>
      <c r="II341" s="251"/>
      <c r="IJ341" s="251"/>
      <c r="IK341" s="251"/>
      <c r="IL341" s="251"/>
      <c r="IM341" s="251"/>
      <c r="IN341" s="251"/>
      <c r="IO341" s="251"/>
    </row>
    <row r="342" spans="2:249" s="329" customFormat="1" ht="78" hidden="1" customHeight="1" x14ac:dyDescent="0.25">
      <c r="B342" s="241"/>
      <c r="C342" s="172" t="s">
        <v>474</v>
      </c>
      <c r="D342" s="325"/>
      <c r="E342" s="181"/>
      <c r="F342" s="181"/>
      <c r="G342" s="181"/>
      <c r="H342" s="181"/>
      <c r="I342" s="189"/>
      <c r="J342" s="189"/>
      <c r="K342" s="181"/>
      <c r="L342" s="181"/>
      <c r="M342" s="181"/>
      <c r="N342" s="181"/>
      <c r="O342" s="189"/>
      <c r="P342" s="189"/>
      <c r="Q342" s="181"/>
      <c r="R342" s="181"/>
      <c r="S342" s="181"/>
      <c r="T342" s="181"/>
      <c r="U342" s="181"/>
      <c r="V342" s="181"/>
      <c r="W342" s="181"/>
      <c r="X342" s="189"/>
      <c r="Y342" s="189"/>
      <c r="Z342" s="181"/>
      <c r="AA342" s="181"/>
      <c r="AB342" s="181"/>
      <c r="AC342" s="181"/>
      <c r="AD342" s="181"/>
      <c r="AE342" s="181"/>
      <c r="AF342" s="181"/>
      <c r="AG342" s="181"/>
      <c r="AH342" s="181"/>
      <c r="AI342" s="181"/>
      <c r="AJ342" s="181"/>
      <c r="AK342" s="181"/>
      <c r="AL342" s="181"/>
      <c r="AM342" s="483"/>
      <c r="AN342" s="483"/>
      <c r="AO342" s="182"/>
      <c r="AP342" s="483"/>
      <c r="AQ342" s="483"/>
      <c r="AR342" s="182"/>
      <c r="AS342" s="181"/>
      <c r="AT342" s="181"/>
      <c r="AU342" s="181"/>
      <c r="AV342" s="181"/>
      <c r="AW342" s="189"/>
      <c r="AX342" s="189"/>
      <c r="AY342" s="181"/>
      <c r="AZ342" s="181"/>
      <c r="BA342" s="181"/>
      <c r="BB342" s="181"/>
      <c r="BC342" s="181"/>
      <c r="BD342" s="181"/>
      <c r="BE342" s="181"/>
      <c r="BF342" s="189"/>
      <c r="BG342" s="189"/>
      <c r="BH342" s="181"/>
      <c r="BI342" s="181"/>
      <c r="BJ342" s="181"/>
      <c r="BK342" s="182"/>
      <c r="BL342" s="181"/>
      <c r="BM342" s="181"/>
      <c r="BN342" s="181"/>
      <c r="BO342" s="181"/>
      <c r="BP342" s="181"/>
      <c r="BQ342" s="181"/>
      <c r="BR342" s="181"/>
      <c r="BS342" s="181"/>
      <c r="BT342" s="181"/>
      <c r="BU342" s="181"/>
      <c r="BV342" s="181"/>
      <c r="BW342" s="181"/>
      <c r="BX342" s="181"/>
      <c r="BY342" s="181"/>
      <c r="BZ342" s="189"/>
      <c r="CA342" s="189"/>
      <c r="CB342" s="181"/>
      <c r="CC342" s="181"/>
      <c r="CD342" s="181"/>
      <c r="CE342" s="182"/>
      <c r="CF342" s="181"/>
      <c r="CG342" s="181"/>
      <c r="CH342" s="181"/>
      <c r="CI342" s="181"/>
      <c r="CJ342" s="181"/>
      <c r="CK342" s="181"/>
      <c r="CL342" s="189"/>
      <c r="CM342" s="189"/>
      <c r="CN342" s="181"/>
      <c r="CO342" s="189"/>
      <c r="CP342" s="189"/>
      <c r="CQ342" s="181"/>
      <c r="CR342" s="181"/>
      <c r="CS342" s="181"/>
      <c r="CT342" s="181"/>
      <c r="CU342" s="181"/>
      <c r="CV342" s="181"/>
      <c r="CW342" s="181"/>
      <c r="CX342" s="181"/>
      <c r="CY342" s="181"/>
      <c r="CZ342" s="181"/>
      <c r="DA342" s="181"/>
      <c r="DB342" s="181"/>
      <c r="DC342" s="181"/>
      <c r="DD342" s="181"/>
      <c r="DE342" s="181"/>
      <c r="DF342" s="181"/>
      <c r="DG342" s="181"/>
      <c r="DH342" s="181"/>
      <c r="DI342" s="181"/>
      <c r="DJ342" s="181"/>
      <c r="DK342" s="181"/>
      <c r="DL342" s="181"/>
      <c r="DM342" s="181"/>
      <c r="DN342" s="181"/>
      <c r="DO342" s="181"/>
      <c r="DP342" s="181"/>
      <c r="DQ342" s="181"/>
      <c r="DR342" s="181"/>
      <c r="DS342" s="181"/>
      <c r="DT342" s="181"/>
      <c r="DU342" s="181"/>
      <c r="DV342" s="181"/>
      <c r="DW342" s="181"/>
      <c r="DX342" s="181"/>
      <c r="DY342" s="181"/>
      <c r="DZ342" s="181"/>
      <c r="EA342" s="181"/>
      <c r="EB342" s="181"/>
      <c r="EC342" s="181"/>
      <c r="ED342" s="181"/>
      <c r="EE342" s="181"/>
      <c r="EF342" s="181"/>
      <c r="EG342" s="181"/>
      <c r="EH342" s="181"/>
      <c r="EI342" s="181"/>
      <c r="EJ342" s="181"/>
      <c r="EK342" s="181"/>
      <c r="EL342" s="181"/>
      <c r="EM342" s="181"/>
      <c r="EN342" s="181"/>
      <c r="EO342" s="181"/>
      <c r="EP342" s="181"/>
      <c r="EQ342" s="181"/>
      <c r="ER342" s="181"/>
      <c r="ES342" s="181"/>
      <c r="ET342" s="181"/>
      <c r="EU342" s="181"/>
      <c r="EV342" s="181"/>
      <c r="EW342" s="181"/>
      <c r="EX342" s="181"/>
      <c r="EY342" s="181"/>
      <c r="EZ342" s="181"/>
      <c r="FA342" s="181"/>
      <c r="FB342" s="181"/>
      <c r="FC342" s="180">
        <f t="shared" si="749"/>
        <v>142939.52007</v>
      </c>
      <c r="FD342" s="180"/>
      <c r="FE342" s="163">
        <v>142939.52007</v>
      </c>
      <c r="FF342" s="180"/>
      <c r="FG342" s="180"/>
      <c r="FH342" s="180"/>
      <c r="FI342" s="180"/>
      <c r="FJ342" s="180"/>
      <c r="FK342" s="180"/>
      <c r="FL342" s="180"/>
      <c r="FM342" s="180"/>
      <c r="FN342" s="180"/>
      <c r="FO342" s="180"/>
      <c r="FP342" s="180"/>
      <c r="FQ342" s="180"/>
      <c r="FR342" s="180"/>
      <c r="FS342" s="180">
        <f t="shared" si="750"/>
        <v>172495.31615999999</v>
      </c>
      <c r="FT342" s="577">
        <f t="shared" si="640"/>
        <v>1.2067713399032403</v>
      </c>
      <c r="FU342" s="180"/>
      <c r="FV342" s="577">
        <v>0</v>
      </c>
      <c r="FW342" s="180">
        <f>'[12]на 1июля'!$FW$340</f>
        <v>172495.31615999999</v>
      </c>
      <c r="FX342" s="575">
        <f t="shared" si="746"/>
        <v>1.2067713399032403</v>
      </c>
      <c r="FY342" s="181"/>
      <c r="FZ342" s="672"/>
      <c r="GA342" s="180">
        <f t="shared" si="751"/>
        <v>142939.52007</v>
      </c>
      <c r="GB342" s="577">
        <f t="shared" si="747"/>
        <v>1</v>
      </c>
      <c r="GC342" s="180"/>
      <c r="GD342" s="577"/>
      <c r="GE342" s="181">
        <v>142939.52007</v>
      </c>
      <c r="GF342" s="577">
        <f t="shared" si="753"/>
        <v>1</v>
      </c>
      <c r="GG342" s="180"/>
      <c r="GH342" s="577"/>
      <c r="GI342" s="180">
        <f t="shared" si="752"/>
        <v>142939.52007</v>
      </c>
      <c r="GJ342" s="577">
        <f t="shared" si="658"/>
        <v>1</v>
      </c>
      <c r="GK342" s="180"/>
      <c r="GL342" s="577"/>
      <c r="GM342" s="180">
        <f>'[12]на 1июля'!$GM$340</f>
        <v>142939.52007</v>
      </c>
      <c r="GN342" s="577">
        <f t="shared" si="748"/>
        <v>1</v>
      </c>
      <c r="GO342" s="180"/>
      <c r="GP342" s="577"/>
      <c r="GQ342" s="181"/>
      <c r="GR342" s="181"/>
      <c r="GS342" s="181"/>
      <c r="GT342" s="181"/>
      <c r="GU342" s="181"/>
      <c r="GV342" s="181"/>
      <c r="GW342" s="181"/>
      <c r="GX342" s="181"/>
      <c r="GY342" s="181"/>
      <c r="GZ342" s="181"/>
      <c r="HA342" s="181"/>
      <c r="HB342" s="181"/>
      <c r="HC342" s="181"/>
      <c r="HD342" s="181"/>
      <c r="HE342" s="181"/>
      <c r="HF342" s="181"/>
      <c r="HG342" s="181"/>
      <c r="HH342" s="181"/>
      <c r="HI342" s="181"/>
      <c r="HJ342" s="181"/>
      <c r="HK342" s="181"/>
      <c r="HL342" s="181"/>
      <c r="HM342" s="181"/>
      <c r="HN342" s="181"/>
      <c r="HO342" s="181"/>
      <c r="HP342" s="181"/>
      <c r="HQ342" s="181"/>
      <c r="HR342" s="181"/>
      <c r="HS342" s="181"/>
      <c r="HT342" s="181"/>
      <c r="HU342" s="181"/>
      <c r="HV342" s="181"/>
      <c r="HW342" s="181"/>
      <c r="HX342" s="181"/>
      <c r="HY342" s="181"/>
      <c r="HZ342" s="181"/>
      <c r="IA342" s="181"/>
      <c r="IB342" s="181"/>
      <c r="IC342" s="181"/>
      <c r="ID342" s="181"/>
      <c r="IE342" s="321"/>
      <c r="IF342" s="183"/>
      <c r="IG342" s="183"/>
      <c r="IH342" s="183"/>
      <c r="II342" s="251"/>
      <c r="IJ342" s="251"/>
      <c r="IK342" s="251"/>
      <c r="IL342" s="251"/>
      <c r="IM342" s="251"/>
      <c r="IN342" s="251"/>
      <c r="IO342" s="251"/>
    </row>
    <row r="343" spans="2:249" s="329" customFormat="1" ht="86.25" hidden="1" customHeight="1" x14ac:dyDescent="0.25">
      <c r="B343" s="241"/>
      <c r="C343" s="172" t="s">
        <v>475</v>
      </c>
      <c r="D343" s="325"/>
      <c r="E343" s="181"/>
      <c r="F343" s="181"/>
      <c r="G343" s="181"/>
      <c r="H343" s="181"/>
      <c r="I343" s="189"/>
      <c r="J343" s="189"/>
      <c r="K343" s="181"/>
      <c r="L343" s="181"/>
      <c r="M343" s="181"/>
      <c r="N343" s="181"/>
      <c r="O343" s="189"/>
      <c r="P343" s="189"/>
      <c r="Q343" s="181"/>
      <c r="R343" s="181"/>
      <c r="S343" s="181"/>
      <c r="T343" s="181"/>
      <c r="U343" s="181"/>
      <c r="V343" s="181"/>
      <c r="W343" s="181"/>
      <c r="X343" s="189"/>
      <c r="Y343" s="189"/>
      <c r="Z343" s="181"/>
      <c r="AA343" s="181"/>
      <c r="AB343" s="181"/>
      <c r="AC343" s="181"/>
      <c r="AD343" s="181"/>
      <c r="AE343" s="181"/>
      <c r="AF343" s="181"/>
      <c r="AG343" s="181"/>
      <c r="AH343" s="181"/>
      <c r="AI343" s="181"/>
      <c r="AJ343" s="181"/>
      <c r="AK343" s="181"/>
      <c r="AL343" s="181"/>
      <c r="AM343" s="483"/>
      <c r="AN343" s="483"/>
      <c r="AO343" s="182"/>
      <c r="AP343" s="483"/>
      <c r="AQ343" s="483"/>
      <c r="AR343" s="182"/>
      <c r="AS343" s="181"/>
      <c r="AT343" s="181"/>
      <c r="AU343" s="181"/>
      <c r="AV343" s="181"/>
      <c r="AW343" s="189"/>
      <c r="AX343" s="189"/>
      <c r="AY343" s="181"/>
      <c r="AZ343" s="181"/>
      <c r="BA343" s="181"/>
      <c r="BB343" s="181"/>
      <c r="BC343" s="181"/>
      <c r="BD343" s="181"/>
      <c r="BE343" s="181"/>
      <c r="BF343" s="189"/>
      <c r="BG343" s="189"/>
      <c r="BH343" s="181"/>
      <c r="BI343" s="181"/>
      <c r="BJ343" s="181"/>
      <c r="BK343" s="182"/>
      <c r="BL343" s="181"/>
      <c r="BM343" s="181"/>
      <c r="BN343" s="181"/>
      <c r="BO343" s="181"/>
      <c r="BP343" s="181"/>
      <c r="BQ343" s="181"/>
      <c r="BR343" s="181"/>
      <c r="BS343" s="181"/>
      <c r="BT343" s="181"/>
      <c r="BU343" s="181"/>
      <c r="BV343" s="181"/>
      <c r="BW343" s="181"/>
      <c r="BX343" s="181"/>
      <c r="BY343" s="181"/>
      <c r="BZ343" s="189"/>
      <c r="CA343" s="189"/>
      <c r="CB343" s="181"/>
      <c r="CC343" s="181"/>
      <c r="CD343" s="181"/>
      <c r="CE343" s="182"/>
      <c r="CF343" s="181"/>
      <c r="CG343" s="181"/>
      <c r="CH343" s="181"/>
      <c r="CI343" s="181"/>
      <c r="CJ343" s="181"/>
      <c r="CK343" s="181"/>
      <c r="CL343" s="189"/>
      <c r="CM343" s="189"/>
      <c r="CN343" s="181"/>
      <c r="CO343" s="189"/>
      <c r="CP343" s="189"/>
      <c r="CQ343" s="181"/>
      <c r="CR343" s="181"/>
      <c r="CS343" s="181"/>
      <c r="CT343" s="181"/>
      <c r="CU343" s="181"/>
      <c r="CV343" s="181"/>
      <c r="CW343" s="181"/>
      <c r="CX343" s="181"/>
      <c r="CY343" s="181"/>
      <c r="CZ343" s="181"/>
      <c r="DA343" s="181"/>
      <c r="DB343" s="181"/>
      <c r="DC343" s="181"/>
      <c r="DD343" s="181"/>
      <c r="DE343" s="181"/>
      <c r="DF343" s="181"/>
      <c r="DG343" s="181"/>
      <c r="DH343" s="181"/>
      <c r="DI343" s="181"/>
      <c r="DJ343" s="181"/>
      <c r="DK343" s="181"/>
      <c r="DL343" s="181"/>
      <c r="DM343" s="181"/>
      <c r="DN343" s="181"/>
      <c r="DO343" s="181"/>
      <c r="DP343" s="181"/>
      <c r="DQ343" s="181"/>
      <c r="DR343" s="181"/>
      <c r="DS343" s="181"/>
      <c r="DT343" s="181"/>
      <c r="DU343" s="181"/>
      <c r="DV343" s="181"/>
      <c r="DW343" s="181"/>
      <c r="DX343" s="181"/>
      <c r="DY343" s="181"/>
      <c r="DZ343" s="181"/>
      <c r="EA343" s="181"/>
      <c r="EB343" s="181"/>
      <c r="EC343" s="181"/>
      <c r="ED343" s="181"/>
      <c r="EE343" s="181"/>
      <c r="EF343" s="181"/>
      <c r="EG343" s="181"/>
      <c r="EH343" s="181"/>
      <c r="EI343" s="181"/>
      <c r="EJ343" s="181"/>
      <c r="EK343" s="181"/>
      <c r="EL343" s="181"/>
      <c r="EM343" s="181"/>
      <c r="EN343" s="181"/>
      <c r="EO343" s="181"/>
      <c r="EP343" s="181"/>
      <c r="EQ343" s="181"/>
      <c r="ER343" s="181"/>
      <c r="ES343" s="181"/>
      <c r="ET343" s="181"/>
      <c r="EU343" s="181"/>
      <c r="EV343" s="181"/>
      <c r="EW343" s="181"/>
      <c r="EX343" s="181"/>
      <c r="EY343" s="181"/>
      <c r="EZ343" s="181"/>
      <c r="FA343" s="181"/>
      <c r="FB343" s="181"/>
      <c r="FC343" s="180">
        <f t="shared" si="749"/>
        <v>596.16</v>
      </c>
      <c r="FD343" s="180"/>
      <c r="FE343" s="163">
        <v>596.16</v>
      </c>
      <c r="FF343" s="180"/>
      <c r="FG343" s="180"/>
      <c r="FH343" s="180"/>
      <c r="FI343" s="180"/>
      <c r="FJ343" s="180"/>
      <c r="FK343" s="180"/>
      <c r="FL343" s="180"/>
      <c r="FM343" s="180"/>
      <c r="FN343" s="180"/>
      <c r="FO343" s="180"/>
      <c r="FP343" s="180"/>
      <c r="FQ343" s="180"/>
      <c r="FR343" s="180"/>
      <c r="FS343" s="180">
        <f t="shared" si="750"/>
        <v>1.319E-2</v>
      </c>
      <c r="FT343" s="577">
        <f t="shared" si="640"/>
        <v>2.2124932903918413E-5</v>
      </c>
      <c r="FU343" s="180"/>
      <c r="FV343" s="577">
        <v>0</v>
      </c>
      <c r="FW343" s="180">
        <f>'[12]на 1июля'!$GE$341</f>
        <v>1.319E-2</v>
      </c>
      <c r="FX343" s="575">
        <f t="shared" si="746"/>
        <v>2.2124932903918413E-5</v>
      </c>
      <c r="FY343" s="181"/>
      <c r="FZ343" s="672"/>
      <c r="GA343" s="180">
        <f t="shared" si="751"/>
        <v>1.319E-2</v>
      </c>
      <c r="GB343" s="577">
        <f t="shared" si="747"/>
        <v>2.2124932903918413E-5</v>
      </c>
      <c r="GC343" s="180"/>
      <c r="GD343" s="577"/>
      <c r="GE343" s="181">
        <v>1.319E-2</v>
      </c>
      <c r="GF343" s="577">
        <f t="shared" si="753"/>
        <v>2.2124932903918413E-5</v>
      </c>
      <c r="GG343" s="180"/>
      <c r="GH343" s="577"/>
      <c r="GI343" s="180">
        <f t="shared" si="752"/>
        <v>329.7</v>
      </c>
      <c r="GJ343" s="577">
        <f t="shared" si="658"/>
        <v>0.55303945249597419</v>
      </c>
      <c r="GK343" s="180"/>
      <c r="GL343" s="577"/>
      <c r="GM343" s="180">
        <f>'[12]на 1июля'!$GM$341</f>
        <v>329.7</v>
      </c>
      <c r="GN343" s="577">
        <f t="shared" si="748"/>
        <v>0.55303945249597419</v>
      </c>
      <c r="GO343" s="180"/>
      <c r="GP343" s="577"/>
      <c r="GQ343" s="181"/>
      <c r="GR343" s="181"/>
      <c r="GS343" s="181"/>
      <c r="GT343" s="181"/>
      <c r="GU343" s="181"/>
      <c r="GV343" s="181"/>
      <c r="GW343" s="181"/>
      <c r="GX343" s="181"/>
      <c r="GY343" s="181"/>
      <c r="GZ343" s="181"/>
      <c r="HA343" s="181"/>
      <c r="HB343" s="181"/>
      <c r="HC343" s="181"/>
      <c r="HD343" s="181"/>
      <c r="HE343" s="181"/>
      <c r="HF343" s="181"/>
      <c r="HG343" s="181"/>
      <c r="HH343" s="181"/>
      <c r="HI343" s="181"/>
      <c r="HJ343" s="181"/>
      <c r="HK343" s="181"/>
      <c r="HL343" s="181"/>
      <c r="HM343" s="181"/>
      <c r="HN343" s="181"/>
      <c r="HO343" s="181"/>
      <c r="HP343" s="181"/>
      <c r="HQ343" s="181"/>
      <c r="HR343" s="181"/>
      <c r="HS343" s="181"/>
      <c r="HT343" s="181"/>
      <c r="HU343" s="181"/>
      <c r="HV343" s="181"/>
      <c r="HW343" s="181"/>
      <c r="HX343" s="181"/>
      <c r="HY343" s="181"/>
      <c r="HZ343" s="181"/>
      <c r="IA343" s="181"/>
      <c r="IB343" s="181"/>
      <c r="IC343" s="181"/>
      <c r="ID343" s="181"/>
      <c r="IE343" s="321"/>
      <c r="IF343" s="183"/>
      <c r="IG343" s="183"/>
      <c r="IH343" s="183"/>
      <c r="II343" s="251"/>
      <c r="IJ343" s="251"/>
      <c r="IK343" s="251"/>
      <c r="IL343" s="251"/>
      <c r="IM343" s="251"/>
      <c r="IN343" s="251"/>
      <c r="IO343" s="251"/>
    </row>
    <row r="344" spans="2:249" s="329" customFormat="1" ht="53.25" hidden="1" customHeight="1" x14ac:dyDescent="0.25">
      <c r="B344" s="241"/>
      <c r="C344" s="172" t="s">
        <v>476</v>
      </c>
      <c r="D344" s="325"/>
      <c r="E344" s="181"/>
      <c r="F344" s="181"/>
      <c r="G344" s="181"/>
      <c r="H344" s="181"/>
      <c r="I344" s="189"/>
      <c r="J344" s="189"/>
      <c r="K344" s="181"/>
      <c r="L344" s="181"/>
      <c r="M344" s="181"/>
      <c r="N344" s="181"/>
      <c r="O344" s="189"/>
      <c r="P344" s="189"/>
      <c r="Q344" s="181"/>
      <c r="R344" s="181"/>
      <c r="S344" s="181"/>
      <c r="T344" s="181"/>
      <c r="U344" s="181"/>
      <c r="V344" s="181"/>
      <c r="W344" s="181"/>
      <c r="X344" s="189"/>
      <c r="Y344" s="189"/>
      <c r="Z344" s="181"/>
      <c r="AA344" s="181"/>
      <c r="AB344" s="181"/>
      <c r="AC344" s="181"/>
      <c r="AD344" s="181"/>
      <c r="AE344" s="181"/>
      <c r="AF344" s="181"/>
      <c r="AG344" s="181"/>
      <c r="AH344" s="181"/>
      <c r="AI344" s="181"/>
      <c r="AJ344" s="181"/>
      <c r="AK344" s="181"/>
      <c r="AL344" s="181"/>
      <c r="AM344" s="483"/>
      <c r="AN344" s="483"/>
      <c r="AO344" s="182"/>
      <c r="AP344" s="483"/>
      <c r="AQ344" s="483"/>
      <c r="AR344" s="182"/>
      <c r="AS344" s="181"/>
      <c r="AT344" s="181"/>
      <c r="AU344" s="181"/>
      <c r="AV344" s="181"/>
      <c r="AW344" s="189"/>
      <c r="AX344" s="189"/>
      <c r="AY344" s="181"/>
      <c r="AZ344" s="181"/>
      <c r="BA344" s="181"/>
      <c r="BB344" s="181"/>
      <c r="BC344" s="181"/>
      <c r="BD344" s="181"/>
      <c r="BE344" s="181"/>
      <c r="BF344" s="189"/>
      <c r="BG344" s="189"/>
      <c r="BH344" s="181"/>
      <c r="BI344" s="181"/>
      <c r="BJ344" s="181"/>
      <c r="BK344" s="182"/>
      <c r="BL344" s="181"/>
      <c r="BM344" s="181"/>
      <c r="BN344" s="181"/>
      <c r="BO344" s="181"/>
      <c r="BP344" s="181"/>
      <c r="BQ344" s="181"/>
      <c r="BR344" s="181"/>
      <c r="BS344" s="181"/>
      <c r="BT344" s="181"/>
      <c r="BU344" s="181"/>
      <c r="BV344" s="181"/>
      <c r="BW344" s="181"/>
      <c r="BX344" s="181"/>
      <c r="BY344" s="181"/>
      <c r="BZ344" s="189"/>
      <c r="CA344" s="189"/>
      <c r="CB344" s="181"/>
      <c r="CC344" s="181"/>
      <c r="CD344" s="181"/>
      <c r="CE344" s="182"/>
      <c r="CF344" s="181"/>
      <c r="CG344" s="181"/>
      <c r="CH344" s="181"/>
      <c r="CI344" s="181"/>
      <c r="CJ344" s="181"/>
      <c r="CK344" s="181"/>
      <c r="CL344" s="189"/>
      <c r="CM344" s="189"/>
      <c r="CN344" s="181"/>
      <c r="CO344" s="189"/>
      <c r="CP344" s="189"/>
      <c r="CQ344" s="181"/>
      <c r="CR344" s="181"/>
      <c r="CS344" s="181"/>
      <c r="CT344" s="181"/>
      <c r="CU344" s="181"/>
      <c r="CV344" s="181"/>
      <c r="CW344" s="181"/>
      <c r="CX344" s="181"/>
      <c r="CY344" s="181"/>
      <c r="CZ344" s="181"/>
      <c r="DA344" s="181"/>
      <c r="DB344" s="181"/>
      <c r="DC344" s="181"/>
      <c r="DD344" s="181"/>
      <c r="DE344" s="181"/>
      <c r="DF344" s="181"/>
      <c r="DG344" s="181"/>
      <c r="DH344" s="181"/>
      <c r="DI344" s="181"/>
      <c r="DJ344" s="181"/>
      <c r="DK344" s="181"/>
      <c r="DL344" s="181"/>
      <c r="DM344" s="181"/>
      <c r="DN344" s="181"/>
      <c r="DO344" s="181"/>
      <c r="DP344" s="181"/>
      <c r="DQ344" s="181"/>
      <c r="DR344" s="181"/>
      <c r="DS344" s="181"/>
      <c r="DT344" s="181"/>
      <c r="DU344" s="181"/>
      <c r="DV344" s="181"/>
      <c r="DW344" s="181"/>
      <c r="DX344" s="181"/>
      <c r="DY344" s="181"/>
      <c r="DZ344" s="181"/>
      <c r="EA344" s="181"/>
      <c r="EB344" s="181"/>
      <c r="EC344" s="181"/>
      <c r="ED344" s="181"/>
      <c r="EE344" s="181"/>
      <c r="EF344" s="181"/>
      <c r="EG344" s="181"/>
      <c r="EH344" s="181"/>
      <c r="EI344" s="181"/>
      <c r="EJ344" s="181"/>
      <c r="EK344" s="181"/>
      <c r="EL344" s="181"/>
      <c r="EM344" s="181"/>
      <c r="EN344" s="181"/>
      <c r="EO344" s="181"/>
      <c r="EP344" s="181"/>
      <c r="EQ344" s="181"/>
      <c r="ER344" s="181"/>
      <c r="ES344" s="181"/>
      <c r="ET344" s="181"/>
      <c r="EU344" s="181"/>
      <c r="EV344" s="181"/>
      <c r="EW344" s="181"/>
      <c r="EX344" s="181"/>
      <c r="EY344" s="181"/>
      <c r="EZ344" s="181"/>
      <c r="FA344" s="181"/>
      <c r="FB344" s="181"/>
      <c r="FC344" s="180">
        <f t="shared" si="749"/>
        <v>1292.8320000000001</v>
      </c>
      <c r="FD344" s="180"/>
      <c r="FE344" s="163">
        <v>1292.8320000000001</v>
      </c>
      <c r="FF344" s="180"/>
      <c r="FG344" s="180"/>
      <c r="FH344" s="180"/>
      <c r="FI344" s="180"/>
      <c r="FJ344" s="180"/>
      <c r="FK344" s="180"/>
      <c r="FL344" s="180"/>
      <c r="FM344" s="180"/>
      <c r="FN344" s="180"/>
      <c r="FO344" s="180"/>
      <c r="FP344" s="180"/>
      <c r="FQ344" s="180"/>
      <c r="FR344" s="180"/>
      <c r="FS344" s="180">
        <f t="shared" si="750"/>
        <v>695.31521999999995</v>
      </c>
      <c r="FT344" s="577">
        <f t="shared" si="640"/>
        <v>0.53782333667483473</v>
      </c>
      <c r="FU344" s="180"/>
      <c r="FV344" s="577">
        <v>0</v>
      </c>
      <c r="FW344" s="180">
        <f>'[12]на 1июля'!$FW$342</f>
        <v>695.31521999999995</v>
      </c>
      <c r="FX344" s="575">
        <f t="shared" si="746"/>
        <v>0.53782333667483473</v>
      </c>
      <c r="FY344" s="181"/>
      <c r="FZ344" s="672"/>
      <c r="GA344" s="180">
        <f t="shared" si="751"/>
        <v>725.00546999999995</v>
      </c>
      <c r="GB344" s="577">
        <f t="shared" si="747"/>
        <v>0.56078861754659526</v>
      </c>
      <c r="GC344" s="180"/>
      <c r="GD344" s="577"/>
      <c r="GE344" s="181">
        <v>725.00546999999995</v>
      </c>
      <c r="GF344" s="577">
        <f t="shared" si="753"/>
        <v>0.56078861754659526</v>
      </c>
      <c r="GG344" s="180"/>
      <c r="GH344" s="577"/>
      <c r="GI344" s="180">
        <f t="shared" si="752"/>
        <v>1024.2</v>
      </c>
      <c r="GJ344" s="577">
        <f t="shared" si="658"/>
        <v>0.79221430162619733</v>
      </c>
      <c r="GK344" s="180"/>
      <c r="GL344" s="577"/>
      <c r="GM344" s="180">
        <f>'[12]на 1июля'!$GM$342</f>
        <v>1024.2</v>
      </c>
      <c r="GN344" s="577">
        <f t="shared" si="748"/>
        <v>0.79221430162619733</v>
      </c>
      <c r="GO344" s="180"/>
      <c r="GP344" s="577"/>
      <c r="GQ344" s="181"/>
      <c r="GR344" s="181"/>
      <c r="GS344" s="181"/>
      <c r="GT344" s="181"/>
      <c r="GU344" s="181"/>
      <c r="GV344" s="181"/>
      <c r="GW344" s="181"/>
      <c r="GX344" s="181"/>
      <c r="GY344" s="181"/>
      <c r="GZ344" s="181"/>
      <c r="HA344" s="181"/>
      <c r="HB344" s="181"/>
      <c r="HC344" s="181"/>
      <c r="HD344" s="181"/>
      <c r="HE344" s="181"/>
      <c r="HF344" s="181"/>
      <c r="HG344" s="181"/>
      <c r="HH344" s="181"/>
      <c r="HI344" s="181"/>
      <c r="HJ344" s="181"/>
      <c r="HK344" s="181"/>
      <c r="HL344" s="181"/>
      <c r="HM344" s="181"/>
      <c r="HN344" s="181"/>
      <c r="HO344" s="181"/>
      <c r="HP344" s="181"/>
      <c r="HQ344" s="181"/>
      <c r="HR344" s="181"/>
      <c r="HS344" s="181"/>
      <c r="HT344" s="181"/>
      <c r="HU344" s="181"/>
      <c r="HV344" s="181"/>
      <c r="HW344" s="181"/>
      <c r="HX344" s="181"/>
      <c r="HY344" s="181"/>
      <c r="HZ344" s="181"/>
      <c r="IA344" s="181"/>
      <c r="IB344" s="181"/>
      <c r="IC344" s="181"/>
      <c r="ID344" s="181"/>
      <c r="IE344" s="321"/>
      <c r="IF344" s="183"/>
      <c r="IG344" s="183"/>
      <c r="IH344" s="183"/>
      <c r="II344" s="251"/>
      <c r="IJ344" s="251"/>
      <c r="IK344" s="251"/>
      <c r="IL344" s="251"/>
      <c r="IM344" s="251"/>
      <c r="IN344" s="251"/>
      <c r="IO344" s="251"/>
    </row>
    <row r="345" spans="2:249" s="329" customFormat="1" ht="71.25" hidden="1" customHeight="1" x14ac:dyDescent="0.25">
      <c r="B345" s="241"/>
      <c r="C345" s="172" t="s">
        <v>523</v>
      </c>
      <c r="D345" s="325"/>
      <c r="E345" s="181"/>
      <c r="F345" s="181"/>
      <c r="G345" s="181"/>
      <c r="H345" s="181"/>
      <c r="I345" s="189"/>
      <c r="J345" s="189"/>
      <c r="K345" s="181"/>
      <c r="L345" s="181"/>
      <c r="M345" s="181"/>
      <c r="N345" s="181"/>
      <c r="O345" s="189"/>
      <c r="P345" s="189"/>
      <c r="Q345" s="181"/>
      <c r="R345" s="181"/>
      <c r="S345" s="181"/>
      <c r="T345" s="181"/>
      <c r="U345" s="181"/>
      <c r="V345" s="181"/>
      <c r="W345" s="181"/>
      <c r="X345" s="189"/>
      <c r="Y345" s="189"/>
      <c r="Z345" s="181"/>
      <c r="AA345" s="181"/>
      <c r="AB345" s="181"/>
      <c r="AC345" s="181"/>
      <c r="AD345" s="181"/>
      <c r="AE345" s="181"/>
      <c r="AF345" s="181"/>
      <c r="AG345" s="181"/>
      <c r="AH345" s="181"/>
      <c r="AI345" s="181"/>
      <c r="AJ345" s="181"/>
      <c r="AK345" s="181"/>
      <c r="AL345" s="181"/>
      <c r="AM345" s="657"/>
      <c r="AN345" s="657"/>
      <c r="AO345" s="182"/>
      <c r="AP345" s="657"/>
      <c r="AQ345" s="657"/>
      <c r="AR345" s="182"/>
      <c r="AS345" s="181"/>
      <c r="AT345" s="181"/>
      <c r="AU345" s="181"/>
      <c r="AV345" s="181"/>
      <c r="AW345" s="189"/>
      <c r="AX345" s="189"/>
      <c r="AY345" s="181"/>
      <c r="AZ345" s="181"/>
      <c r="BA345" s="181"/>
      <c r="BB345" s="181"/>
      <c r="BC345" s="181"/>
      <c r="BD345" s="181"/>
      <c r="BE345" s="181"/>
      <c r="BF345" s="189"/>
      <c r="BG345" s="189"/>
      <c r="BH345" s="181"/>
      <c r="BI345" s="181"/>
      <c r="BJ345" s="181"/>
      <c r="BK345" s="182"/>
      <c r="BL345" s="181"/>
      <c r="BM345" s="181"/>
      <c r="BN345" s="181"/>
      <c r="BO345" s="181"/>
      <c r="BP345" s="181"/>
      <c r="BQ345" s="181"/>
      <c r="BR345" s="181"/>
      <c r="BS345" s="181"/>
      <c r="BT345" s="181"/>
      <c r="BU345" s="181"/>
      <c r="BV345" s="181"/>
      <c r="BW345" s="181"/>
      <c r="BX345" s="181"/>
      <c r="BY345" s="181"/>
      <c r="BZ345" s="189"/>
      <c r="CA345" s="189"/>
      <c r="CB345" s="181"/>
      <c r="CC345" s="181"/>
      <c r="CD345" s="181"/>
      <c r="CE345" s="182"/>
      <c r="CF345" s="181"/>
      <c r="CG345" s="181"/>
      <c r="CH345" s="181"/>
      <c r="CI345" s="181"/>
      <c r="CJ345" s="181"/>
      <c r="CK345" s="181"/>
      <c r="CL345" s="189"/>
      <c r="CM345" s="189"/>
      <c r="CN345" s="181"/>
      <c r="CO345" s="189"/>
      <c r="CP345" s="189"/>
      <c r="CQ345" s="181"/>
      <c r="CR345" s="181"/>
      <c r="CS345" s="181"/>
      <c r="CT345" s="181"/>
      <c r="CU345" s="181"/>
      <c r="CV345" s="181"/>
      <c r="CW345" s="181"/>
      <c r="CX345" s="181"/>
      <c r="CY345" s="181"/>
      <c r="CZ345" s="181"/>
      <c r="DA345" s="181"/>
      <c r="DB345" s="181"/>
      <c r="DC345" s="181"/>
      <c r="DD345" s="181"/>
      <c r="DE345" s="181"/>
      <c r="DF345" s="181"/>
      <c r="DG345" s="181"/>
      <c r="DH345" s="181"/>
      <c r="DI345" s="181"/>
      <c r="DJ345" s="181"/>
      <c r="DK345" s="181"/>
      <c r="DL345" s="181"/>
      <c r="DM345" s="181"/>
      <c r="DN345" s="181"/>
      <c r="DO345" s="181"/>
      <c r="DP345" s="181"/>
      <c r="DQ345" s="181"/>
      <c r="DR345" s="181"/>
      <c r="DS345" s="181"/>
      <c r="DT345" s="181"/>
      <c r="DU345" s="181"/>
      <c r="DV345" s="181"/>
      <c r="DW345" s="181"/>
      <c r="DX345" s="181"/>
      <c r="DY345" s="181"/>
      <c r="DZ345" s="181"/>
      <c r="EA345" s="181"/>
      <c r="EB345" s="181"/>
      <c r="EC345" s="181"/>
      <c r="ED345" s="181"/>
      <c r="EE345" s="181"/>
      <c r="EF345" s="181"/>
      <c r="EG345" s="181"/>
      <c r="EH345" s="181"/>
      <c r="EI345" s="181"/>
      <c r="EJ345" s="181"/>
      <c r="EK345" s="181"/>
      <c r="EL345" s="181"/>
      <c r="EM345" s="181"/>
      <c r="EN345" s="181"/>
      <c r="EO345" s="181"/>
      <c r="EP345" s="181"/>
      <c r="EQ345" s="181"/>
      <c r="ER345" s="181"/>
      <c r="ES345" s="181"/>
      <c r="ET345" s="181"/>
      <c r="EU345" s="181"/>
      <c r="EV345" s="181"/>
      <c r="EW345" s="181"/>
      <c r="EX345" s="181"/>
      <c r="EY345" s="181"/>
      <c r="EZ345" s="181"/>
      <c r="FA345" s="181"/>
      <c r="FB345" s="181"/>
      <c r="FC345" s="180">
        <f t="shared" si="749"/>
        <v>200</v>
      </c>
      <c r="FD345" s="180"/>
      <c r="FE345" s="163">
        <v>200</v>
      </c>
      <c r="FF345" s="180"/>
      <c r="FG345" s="180"/>
      <c r="FH345" s="180"/>
      <c r="FI345" s="180"/>
      <c r="FJ345" s="180"/>
      <c r="FK345" s="180"/>
      <c r="FL345" s="180"/>
      <c r="FM345" s="180"/>
      <c r="FN345" s="180"/>
      <c r="FO345" s="180"/>
      <c r="FP345" s="180"/>
      <c r="FQ345" s="180"/>
      <c r="FR345" s="180"/>
      <c r="FS345" s="180"/>
      <c r="FT345" s="577">
        <f t="shared" si="640"/>
        <v>0</v>
      </c>
      <c r="FU345" s="180"/>
      <c r="FV345" s="577">
        <v>0</v>
      </c>
      <c r="FW345" s="180"/>
      <c r="FX345" s="575">
        <f t="shared" si="746"/>
        <v>0</v>
      </c>
      <c r="FY345" s="181"/>
      <c r="FZ345" s="672"/>
      <c r="GA345" s="180">
        <f t="shared" si="751"/>
        <v>53.221960000000003</v>
      </c>
      <c r="GB345" s="577">
        <f t="shared" si="747"/>
        <v>0.26610980000000001</v>
      </c>
      <c r="GC345" s="180"/>
      <c r="GD345" s="577"/>
      <c r="GE345" s="181">
        <v>53.221960000000003</v>
      </c>
      <c r="GF345" s="577">
        <f t="shared" si="753"/>
        <v>0.26610980000000001</v>
      </c>
      <c r="GG345" s="180"/>
      <c r="GH345" s="577"/>
      <c r="GI345" s="180">
        <f t="shared" si="752"/>
        <v>87.603260000000006</v>
      </c>
      <c r="GJ345" s="577">
        <f t="shared" si="658"/>
        <v>0.43801630000000003</v>
      </c>
      <c r="GK345" s="180"/>
      <c r="GL345" s="577"/>
      <c r="GM345" s="180">
        <f>'[12]на 1июля'!$GM$343</f>
        <v>87.603260000000006</v>
      </c>
      <c r="GN345" s="577">
        <f t="shared" si="748"/>
        <v>0.43801630000000003</v>
      </c>
      <c r="GO345" s="180"/>
      <c r="GP345" s="577"/>
      <c r="GQ345" s="181"/>
      <c r="GR345" s="181"/>
      <c r="GS345" s="181"/>
      <c r="GT345" s="181"/>
      <c r="GU345" s="181"/>
      <c r="GV345" s="181"/>
      <c r="GW345" s="181"/>
      <c r="GX345" s="181"/>
      <c r="GY345" s="181"/>
      <c r="GZ345" s="181"/>
      <c r="HA345" s="181"/>
      <c r="HB345" s="181"/>
      <c r="HC345" s="181"/>
      <c r="HD345" s="181"/>
      <c r="HE345" s="181"/>
      <c r="HF345" s="181"/>
      <c r="HG345" s="181"/>
      <c r="HH345" s="181"/>
      <c r="HI345" s="181"/>
      <c r="HJ345" s="181"/>
      <c r="HK345" s="181"/>
      <c r="HL345" s="181"/>
      <c r="HM345" s="181"/>
      <c r="HN345" s="181"/>
      <c r="HO345" s="181"/>
      <c r="HP345" s="181"/>
      <c r="HQ345" s="181"/>
      <c r="HR345" s="181"/>
      <c r="HS345" s="181"/>
      <c r="HT345" s="181"/>
      <c r="HU345" s="181"/>
      <c r="HV345" s="181"/>
      <c r="HW345" s="181"/>
      <c r="HX345" s="181"/>
      <c r="HY345" s="181"/>
      <c r="HZ345" s="181"/>
      <c r="IA345" s="181"/>
      <c r="IB345" s="181"/>
      <c r="IC345" s="181"/>
      <c r="ID345" s="181"/>
      <c r="IE345" s="321"/>
      <c r="IF345" s="183"/>
      <c r="IG345" s="183"/>
      <c r="IH345" s="183"/>
      <c r="II345" s="251"/>
      <c r="IJ345" s="251"/>
      <c r="IK345" s="251"/>
      <c r="IL345" s="251"/>
      <c r="IM345" s="251"/>
      <c r="IN345" s="251"/>
      <c r="IO345" s="251"/>
    </row>
    <row r="346" spans="2:249" s="591" customFormat="1" ht="60" customHeight="1" x14ac:dyDescent="0.3">
      <c r="B346" s="131" t="s">
        <v>483</v>
      </c>
      <c r="C346" s="260" t="s">
        <v>411</v>
      </c>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9"/>
      <c r="AL346" s="139"/>
      <c r="AM346" s="260"/>
      <c r="AN346" s="260"/>
      <c r="AO346" s="139"/>
      <c r="AP346" s="136"/>
      <c r="AQ346" s="136"/>
      <c r="AR346" s="139"/>
      <c r="AS346" s="136"/>
      <c r="AT346" s="136"/>
      <c r="AU346" s="136"/>
      <c r="AV346" s="136"/>
      <c r="AW346" s="136"/>
      <c r="AX346" s="136"/>
      <c r="AY346" s="136"/>
      <c r="AZ346" s="136"/>
      <c r="BA346" s="136"/>
      <c r="BB346" s="136"/>
      <c r="BC346" s="136"/>
      <c r="BD346" s="136"/>
      <c r="BE346" s="136"/>
      <c r="BF346" s="136"/>
      <c r="BG346" s="136"/>
      <c r="BH346" s="136"/>
      <c r="BI346" s="136"/>
      <c r="BJ346" s="136"/>
      <c r="BK346" s="139"/>
      <c r="BL346" s="139"/>
      <c r="BM346" s="139"/>
      <c r="BN346" s="139"/>
      <c r="BO346" s="139"/>
      <c r="BP346" s="139"/>
      <c r="BQ346" s="139"/>
      <c r="BR346" s="139"/>
      <c r="BS346" s="139"/>
      <c r="BT346" s="139"/>
      <c r="BU346" s="139"/>
      <c r="BV346" s="136"/>
      <c r="BW346" s="136"/>
      <c r="BX346" s="136"/>
      <c r="BY346" s="136"/>
      <c r="BZ346" s="136"/>
      <c r="CA346" s="136"/>
      <c r="CB346" s="136"/>
      <c r="CC346" s="136"/>
      <c r="CD346" s="136"/>
      <c r="CE346" s="139"/>
      <c r="CF346" s="139"/>
      <c r="CG346" s="136"/>
      <c r="CH346" s="136"/>
      <c r="CI346" s="136"/>
      <c r="CJ346" s="136"/>
      <c r="CK346" s="136"/>
      <c r="CL346" s="136"/>
      <c r="CM346" s="136"/>
      <c r="CN346" s="136"/>
      <c r="CO346" s="136"/>
      <c r="CP346" s="136"/>
      <c r="CQ346" s="136"/>
      <c r="CR346" s="136"/>
      <c r="CS346" s="136"/>
      <c r="CT346" s="136"/>
      <c r="CU346" s="136"/>
      <c r="CV346" s="136"/>
      <c r="CW346" s="136">
        <f>CX346</f>
        <v>0</v>
      </c>
      <c r="CX346" s="136">
        <v>0</v>
      </c>
      <c r="CY346" s="136"/>
      <c r="CZ346" s="136"/>
      <c r="DA346" s="136"/>
      <c r="DB346" s="136"/>
      <c r="DC346" s="136"/>
      <c r="DD346" s="136"/>
      <c r="DE346" s="136"/>
      <c r="DF346" s="136">
        <f>DG346+DH346</f>
        <v>48299.215400000001</v>
      </c>
      <c r="DG346" s="136">
        <f>DJ346-CX346</f>
        <v>48299.215400000001</v>
      </c>
      <c r="DH346" s="136"/>
      <c r="DI346" s="136">
        <f>DJ346</f>
        <v>48299.215400000001</v>
      </c>
      <c r="DJ346" s="136">
        <v>48299.215400000001</v>
      </c>
      <c r="DK346" s="136"/>
      <c r="DL346" s="136"/>
      <c r="DM346" s="136"/>
      <c r="DN346" s="136"/>
      <c r="DO346" s="136"/>
      <c r="DP346" s="136"/>
      <c r="DQ346" s="136"/>
      <c r="DR346" s="136"/>
      <c r="DS346" s="136"/>
      <c r="DT346" s="136"/>
      <c r="DU346" s="136">
        <v>0</v>
      </c>
      <c r="DV346" s="136">
        <v>0</v>
      </c>
      <c r="DW346" s="136">
        <v>0</v>
      </c>
      <c r="DX346" s="136"/>
      <c r="DY346" s="136"/>
      <c r="DZ346" s="136"/>
      <c r="EA346" s="136"/>
      <c r="EB346" s="136"/>
      <c r="EC346" s="136"/>
      <c r="ED346" s="136">
        <f>EE346+EF346</f>
        <v>0</v>
      </c>
      <c r="EE346" s="136">
        <f>EH346-DV346</f>
        <v>0</v>
      </c>
      <c r="EF346" s="136"/>
      <c r="EG346" s="136">
        <f>EH346+EI346+EJ346</f>
        <v>63432.124199999998</v>
      </c>
      <c r="EH346" s="136">
        <f>EH347</f>
        <v>0</v>
      </c>
      <c r="EI346" s="136">
        <f>EI347</f>
        <v>63432.124199999998</v>
      </c>
      <c r="EJ346" s="136"/>
      <c r="EK346" s="136">
        <f>EL346+EM346+EN346</f>
        <v>-63432.124199999998</v>
      </c>
      <c r="EL346" s="136">
        <f>EL347</f>
        <v>0</v>
      </c>
      <c r="EM346" s="136">
        <f>EM347</f>
        <v>-63432.124199999998</v>
      </c>
      <c r="EN346" s="136">
        <f>EN347</f>
        <v>0</v>
      </c>
      <c r="EO346" s="136">
        <f>EP346+EQ346+ER346</f>
        <v>0</v>
      </c>
      <c r="EP346" s="136">
        <f>EP347</f>
        <v>0</v>
      </c>
      <c r="EQ346" s="136">
        <f>EQ347</f>
        <v>0</v>
      </c>
      <c r="ER346" s="136">
        <f>ER347</f>
        <v>0</v>
      </c>
      <c r="ES346" s="136">
        <f>ET346+EU346+EV346</f>
        <v>0</v>
      </c>
      <c r="ET346" s="136">
        <f>ET347</f>
        <v>0</v>
      </c>
      <c r="EU346" s="136">
        <f>EU347</f>
        <v>0</v>
      </c>
      <c r="EV346" s="136">
        <f>EV347</f>
        <v>0</v>
      </c>
      <c r="EW346" s="136">
        <v>0</v>
      </c>
      <c r="EX346" s="136">
        <v>0</v>
      </c>
      <c r="EY346" s="136">
        <v>0</v>
      </c>
      <c r="EZ346" s="136" t="e">
        <f>FA346+FB346</f>
        <v>#REF!</v>
      </c>
      <c r="FA346" s="136" t="e">
        <f>FD346-#REF!</f>
        <v>#REF!</v>
      </c>
      <c r="FB346" s="136"/>
      <c r="FC346" s="134">
        <f>FD346+FE346+FF346</f>
        <v>63432.124199999998</v>
      </c>
      <c r="FD346" s="134">
        <f>FD347</f>
        <v>0</v>
      </c>
      <c r="FE346" s="134">
        <f>FE347</f>
        <v>63432.124199999998</v>
      </c>
      <c r="FF346" s="134">
        <f>FF347</f>
        <v>0</v>
      </c>
      <c r="FG346" s="134"/>
      <c r="FH346" s="134"/>
      <c r="FI346" s="134"/>
      <c r="FJ346" s="134"/>
      <c r="FK346" s="134">
        <f>FL346+FM346+FN346</f>
        <v>0</v>
      </c>
      <c r="FL346" s="134">
        <f>FL347</f>
        <v>0</v>
      </c>
      <c r="FM346" s="134">
        <f>FM347</f>
        <v>0</v>
      </c>
      <c r="FN346" s="134">
        <f>FN347</f>
        <v>0</v>
      </c>
      <c r="FO346" s="134">
        <f>FP346+FQ346+FR346</f>
        <v>63432.124199999998</v>
      </c>
      <c r="FP346" s="134">
        <f>FP347</f>
        <v>0</v>
      </c>
      <c r="FQ346" s="134">
        <f>FQ347</f>
        <v>63432.124199999998</v>
      </c>
      <c r="FR346" s="134"/>
      <c r="FS346" s="134">
        <v>0</v>
      </c>
      <c r="FT346" s="576">
        <f t="shared" si="640"/>
        <v>0</v>
      </c>
      <c r="FU346" s="134"/>
      <c r="FV346" s="576">
        <v>0</v>
      </c>
      <c r="FW346" s="134">
        <v>0</v>
      </c>
      <c r="FX346" s="576">
        <f t="shared" si="746"/>
        <v>0</v>
      </c>
      <c r="FY346" s="136"/>
      <c r="FZ346" s="670"/>
      <c r="GA346" s="134">
        <v>0</v>
      </c>
      <c r="GB346" s="576">
        <v>0</v>
      </c>
      <c r="GC346" s="134"/>
      <c r="GD346" s="576"/>
      <c r="GE346" s="136"/>
      <c r="GF346" s="576"/>
      <c r="GG346" s="134"/>
      <c r="GH346" s="576"/>
      <c r="GI346" s="134">
        <f>GM346</f>
        <v>0</v>
      </c>
      <c r="GJ346" s="576">
        <f t="shared" si="658"/>
        <v>0</v>
      </c>
      <c r="GK346" s="134">
        <v>0</v>
      </c>
      <c r="GL346" s="576">
        <v>0</v>
      </c>
      <c r="GM346" s="134">
        <f>GM347</f>
        <v>0</v>
      </c>
      <c r="GN346" s="576">
        <f t="shared" si="748"/>
        <v>0</v>
      </c>
      <c r="GO346" s="134">
        <v>0</v>
      </c>
      <c r="GP346" s="576">
        <v>0</v>
      </c>
      <c r="GQ346" s="136"/>
      <c r="GR346" s="136"/>
      <c r="GS346" s="136"/>
      <c r="GT346" s="136"/>
      <c r="GU346" s="136">
        <f>GV346+GW346+GX346</f>
        <v>63432.124199999998</v>
      </c>
      <c r="GV346" s="136">
        <f>GV347</f>
        <v>0</v>
      </c>
      <c r="GW346" s="136">
        <f>GW347</f>
        <v>63432.124199999998</v>
      </c>
      <c r="GX346" s="136">
        <f>GX347</f>
        <v>0</v>
      </c>
      <c r="GY346" s="136"/>
      <c r="GZ346" s="136"/>
      <c r="HA346" s="136"/>
      <c r="HB346" s="136"/>
      <c r="HC346" s="136"/>
      <c r="HD346" s="136"/>
      <c r="HE346" s="136"/>
      <c r="HF346" s="136"/>
      <c r="HG346" s="136">
        <f>HH346+HI346+HJ346</f>
        <v>0</v>
      </c>
      <c r="HH346" s="136">
        <f>HH347</f>
        <v>0</v>
      </c>
      <c r="HI346" s="136">
        <f>HI347</f>
        <v>0</v>
      </c>
      <c r="HJ346" s="136">
        <f>HJ347</f>
        <v>0</v>
      </c>
      <c r="HK346" s="136">
        <f>HL346+HM346+HN346</f>
        <v>0</v>
      </c>
      <c r="HL346" s="136">
        <f>HL347</f>
        <v>0</v>
      </c>
      <c r="HM346" s="136">
        <f>HM347</f>
        <v>0</v>
      </c>
      <c r="HN346" s="136">
        <f>HN347</f>
        <v>0</v>
      </c>
      <c r="HO346" s="136">
        <f>HP346+HQ346+HR346</f>
        <v>63432.124199999998</v>
      </c>
      <c r="HP346" s="136">
        <f>HP347</f>
        <v>0</v>
      </c>
      <c r="HQ346" s="136">
        <f>HQ347</f>
        <v>63432.124199999998</v>
      </c>
      <c r="HR346" s="136">
        <f>HR347</f>
        <v>0</v>
      </c>
      <c r="HS346" s="136">
        <f>HT346+HU346+HV346</f>
        <v>63432.124199999998</v>
      </c>
      <c r="HT346" s="136">
        <f>HT347</f>
        <v>0</v>
      </c>
      <c r="HU346" s="136">
        <f>HU347</f>
        <v>63432.124199999998</v>
      </c>
      <c r="HV346" s="136">
        <f>HV347</f>
        <v>0</v>
      </c>
      <c r="HW346" s="136">
        <f>HX346+HY346+HZ346</f>
        <v>0</v>
      </c>
      <c r="HX346" s="136">
        <f>HX347</f>
        <v>0</v>
      </c>
      <c r="HY346" s="136">
        <f>HY347</f>
        <v>0</v>
      </c>
      <c r="HZ346" s="136">
        <f>HZ347</f>
        <v>0</v>
      </c>
      <c r="IA346" s="136">
        <f>IB346+IC346+ID346</f>
        <v>63432.124199999998</v>
      </c>
      <c r="IB346" s="136">
        <f>IB347</f>
        <v>0</v>
      </c>
      <c r="IC346" s="136">
        <f>IC347</f>
        <v>63432.124199999998</v>
      </c>
      <c r="ID346" s="136">
        <f>ID347</f>
        <v>0</v>
      </c>
      <c r="IE346" s="590" t="s">
        <v>412</v>
      </c>
      <c r="IF346" s="238"/>
      <c r="IG346" s="238"/>
      <c r="IH346" s="238"/>
    </row>
    <row r="347" spans="2:249" s="309" customFormat="1" ht="206.25" customHeight="1" x14ac:dyDescent="0.3">
      <c r="B347" s="241" t="s">
        <v>134</v>
      </c>
      <c r="C347" s="107" t="s">
        <v>410</v>
      </c>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4"/>
      <c r="AL347" s="154"/>
      <c r="AM347" s="107"/>
      <c r="AN347" s="107"/>
      <c r="AO347" s="154"/>
      <c r="AP347" s="153"/>
      <c r="AQ347" s="153"/>
      <c r="AR347" s="154"/>
      <c r="AS347" s="153"/>
      <c r="AT347" s="153"/>
      <c r="AU347" s="153"/>
      <c r="AV347" s="153"/>
      <c r="AW347" s="153"/>
      <c r="AX347" s="153"/>
      <c r="AY347" s="153"/>
      <c r="AZ347" s="153"/>
      <c r="BA347" s="153"/>
      <c r="BB347" s="153"/>
      <c r="BC347" s="153"/>
      <c r="BD347" s="153"/>
      <c r="BE347" s="153"/>
      <c r="BF347" s="153"/>
      <c r="BG347" s="153"/>
      <c r="BH347" s="153"/>
      <c r="BI347" s="153"/>
      <c r="BJ347" s="153"/>
      <c r="BK347" s="154"/>
      <c r="BL347" s="154"/>
      <c r="BM347" s="154"/>
      <c r="BN347" s="154"/>
      <c r="BO347" s="154"/>
      <c r="BP347" s="154"/>
      <c r="BQ347" s="154"/>
      <c r="BR347" s="154"/>
      <c r="BS347" s="154"/>
      <c r="BT347" s="154"/>
      <c r="BU347" s="154"/>
      <c r="BV347" s="153"/>
      <c r="BW347" s="153"/>
      <c r="BX347" s="153"/>
      <c r="BY347" s="153"/>
      <c r="BZ347" s="153"/>
      <c r="CA347" s="153"/>
      <c r="CB347" s="153"/>
      <c r="CC347" s="153"/>
      <c r="CD347" s="153"/>
      <c r="CE347" s="154"/>
      <c r="CF347" s="154"/>
      <c r="CG347" s="153"/>
      <c r="CH347" s="153"/>
      <c r="CI347" s="153"/>
      <c r="CJ347" s="153"/>
      <c r="CK347" s="153"/>
      <c r="CL347" s="153"/>
      <c r="CM347" s="153"/>
      <c r="CN347" s="153"/>
      <c r="CO347" s="153"/>
      <c r="CP347" s="153"/>
      <c r="CQ347" s="153"/>
      <c r="CR347" s="153"/>
      <c r="CS347" s="153"/>
      <c r="CT347" s="153"/>
      <c r="CU347" s="153"/>
      <c r="CV347" s="153"/>
      <c r="CW347" s="153">
        <f>CX347</f>
        <v>0</v>
      </c>
      <c r="CX347" s="153">
        <v>0</v>
      </c>
      <c r="CY347" s="153"/>
      <c r="CZ347" s="153"/>
      <c r="DA347" s="153"/>
      <c r="DB347" s="153"/>
      <c r="DC347" s="153"/>
      <c r="DD347" s="153"/>
      <c r="DE347" s="153"/>
      <c r="DF347" s="153">
        <f>DF346</f>
        <v>48299.215400000001</v>
      </c>
      <c r="DG347" s="153">
        <f>DG346</f>
        <v>48299.215400000001</v>
      </c>
      <c r="DH347" s="153"/>
      <c r="DI347" s="153">
        <f>DI346</f>
        <v>48299.215400000001</v>
      </c>
      <c r="DJ347" s="153">
        <f>DJ346</f>
        <v>48299.215400000001</v>
      </c>
      <c r="DK347" s="153"/>
      <c r="DL347" s="153"/>
      <c r="DM347" s="153"/>
      <c r="DN347" s="153"/>
      <c r="DO347" s="153"/>
      <c r="DP347" s="153"/>
      <c r="DQ347" s="153"/>
      <c r="DR347" s="153"/>
      <c r="DS347" s="153"/>
      <c r="DT347" s="153"/>
      <c r="DU347" s="153">
        <v>0</v>
      </c>
      <c r="DV347" s="153">
        <v>0</v>
      </c>
      <c r="DW347" s="153">
        <v>0</v>
      </c>
      <c r="DX347" s="153"/>
      <c r="DY347" s="153"/>
      <c r="DZ347" s="153"/>
      <c r="EA347" s="153"/>
      <c r="EB347" s="153"/>
      <c r="EC347" s="153"/>
      <c r="ED347" s="153">
        <f>ED346</f>
        <v>0</v>
      </c>
      <c r="EE347" s="153">
        <f>EE346</f>
        <v>0</v>
      </c>
      <c r="EF347" s="153"/>
      <c r="EG347" s="153">
        <f>EG346</f>
        <v>63432.124199999998</v>
      </c>
      <c r="EH347" s="153">
        <v>0</v>
      </c>
      <c r="EI347" s="153">
        <v>63432.124199999998</v>
      </c>
      <c r="EJ347" s="153"/>
      <c r="EK347" s="153">
        <f>EL347+EM347+EN347</f>
        <v>-63432.124199999998</v>
      </c>
      <c r="EL347" s="153">
        <v>0</v>
      </c>
      <c r="EM347" s="153">
        <f>EU347-EI347</f>
        <v>-63432.124199999998</v>
      </c>
      <c r="EN347" s="153"/>
      <c r="EO347" s="153">
        <f>EP347+EQ347+ER347</f>
        <v>0</v>
      </c>
      <c r="EP347" s="153">
        <v>0</v>
      </c>
      <c r="EQ347" s="153">
        <v>0</v>
      </c>
      <c r="ER347" s="153"/>
      <c r="ES347" s="153">
        <f>ET347+EU347+EV347</f>
        <v>0</v>
      </c>
      <c r="ET347" s="153">
        <v>0</v>
      </c>
      <c r="EU347" s="153"/>
      <c r="EV347" s="153"/>
      <c r="EW347" s="153">
        <v>0</v>
      </c>
      <c r="EX347" s="153">
        <v>0</v>
      </c>
      <c r="EY347" s="153">
        <v>0</v>
      </c>
      <c r="EZ347" s="153" t="e">
        <f>EZ346</f>
        <v>#REF!</v>
      </c>
      <c r="FA347" s="153" t="e">
        <f>FA346</f>
        <v>#REF!</v>
      </c>
      <c r="FB347" s="153"/>
      <c r="FC347" s="152">
        <f>FD347+FE347+FF347</f>
        <v>63432.124199999998</v>
      </c>
      <c r="FD347" s="152">
        <v>0</v>
      </c>
      <c r="FE347" s="152">
        <v>63432.124199999998</v>
      </c>
      <c r="FF347" s="152"/>
      <c r="FG347" s="152"/>
      <c r="FH347" s="152"/>
      <c r="FI347" s="152"/>
      <c r="FJ347" s="152"/>
      <c r="FK347" s="152">
        <f>FL347+FM347+FN347</f>
        <v>0</v>
      </c>
      <c r="FL347" s="152">
        <v>0</v>
      </c>
      <c r="FM347" s="152">
        <v>0</v>
      </c>
      <c r="FN347" s="152"/>
      <c r="FO347" s="152">
        <f>FO346</f>
        <v>63432.124199999998</v>
      </c>
      <c r="FP347" s="152">
        <v>0</v>
      </c>
      <c r="FQ347" s="152">
        <f>EI347</f>
        <v>63432.124199999998</v>
      </c>
      <c r="FR347" s="152"/>
      <c r="FS347" s="152">
        <f>FW347</f>
        <v>0</v>
      </c>
      <c r="FT347" s="577">
        <f t="shared" si="640"/>
        <v>0</v>
      </c>
      <c r="FU347" s="152"/>
      <c r="FV347" s="577">
        <v>0</v>
      </c>
      <c r="FW347" s="152">
        <v>0</v>
      </c>
      <c r="FX347" s="575">
        <f t="shared" si="746"/>
        <v>0</v>
      </c>
      <c r="FY347" s="658"/>
      <c r="FZ347" s="672"/>
      <c r="GA347" s="152">
        <v>0</v>
      </c>
      <c r="GB347" s="577">
        <v>0</v>
      </c>
      <c r="GC347" s="152"/>
      <c r="GD347" s="577"/>
      <c r="GE347" s="659"/>
      <c r="GF347" s="577"/>
      <c r="GG347" s="152"/>
      <c r="GH347" s="577"/>
      <c r="GI347" s="152">
        <f>GK347+GM347+GO347</f>
        <v>0</v>
      </c>
      <c r="GJ347" s="577">
        <f t="shared" si="658"/>
        <v>0</v>
      </c>
      <c r="GK347" s="152">
        <v>0</v>
      </c>
      <c r="GL347" s="577">
        <v>0</v>
      </c>
      <c r="GM347" s="152">
        <v>0</v>
      </c>
      <c r="GN347" s="577">
        <f t="shared" si="748"/>
        <v>0</v>
      </c>
      <c r="GO347" s="152">
        <v>0</v>
      </c>
      <c r="GP347" s="577">
        <v>0</v>
      </c>
      <c r="GQ347" s="308"/>
      <c r="GR347" s="308"/>
      <c r="GS347" s="308"/>
      <c r="GT347" s="308"/>
      <c r="GU347" s="153">
        <f>GV347+GW347+GX347</f>
        <v>63432.124199999998</v>
      </c>
      <c r="GV347" s="153"/>
      <c r="GW347" s="153">
        <f>FQ347</f>
        <v>63432.124199999998</v>
      </c>
      <c r="GX347" s="153"/>
      <c r="GY347" s="153"/>
      <c r="GZ347" s="153"/>
      <c r="HA347" s="153"/>
      <c r="HB347" s="153"/>
      <c r="HC347" s="153"/>
      <c r="HD347" s="153"/>
      <c r="HE347" s="153"/>
      <c r="HF347" s="153"/>
      <c r="HG347" s="153">
        <f>HH347+HI347+HJ347</f>
        <v>0</v>
      </c>
      <c r="HH347" s="153"/>
      <c r="HI347" s="153">
        <f>HE347</f>
        <v>0</v>
      </c>
      <c r="HJ347" s="153"/>
      <c r="HK347" s="153">
        <f>HL347+HM347+HN347</f>
        <v>0</v>
      </c>
      <c r="HL347" s="153"/>
      <c r="HM347" s="153">
        <f>HI347</f>
        <v>0</v>
      </c>
      <c r="HN347" s="153"/>
      <c r="HO347" s="153">
        <f>HP347+HQ347+HR347</f>
        <v>63432.124199999998</v>
      </c>
      <c r="HP347" s="153"/>
      <c r="HQ347" s="153">
        <f>GW347</f>
        <v>63432.124199999998</v>
      </c>
      <c r="HR347" s="153"/>
      <c r="HS347" s="153">
        <f>HT347+HU347+HV347</f>
        <v>63432.124199999998</v>
      </c>
      <c r="HT347" s="153"/>
      <c r="HU347" s="153">
        <f>HQ347</f>
        <v>63432.124199999998</v>
      </c>
      <c r="HV347" s="153"/>
      <c r="HW347" s="153">
        <f>HX347+HY347+HZ347</f>
        <v>0</v>
      </c>
      <c r="HX347" s="153"/>
      <c r="HY347" s="153">
        <v>0</v>
      </c>
      <c r="HZ347" s="153"/>
      <c r="IA347" s="153">
        <f>IB347+IC347+ID347</f>
        <v>63432.124199999998</v>
      </c>
      <c r="IB347" s="153"/>
      <c r="IC347" s="153">
        <f>HU347</f>
        <v>63432.124199999998</v>
      </c>
      <c r="ID347" s="153"/>
      <c r="IE347" s="319"/>
      <c r="IF347" s="157"/>
      <c r="IG347" s="157"/>
      <c r="IH347" s="157"/>
    </row>
    <row r="348" spans="2:249" s="591" customFormat="1" ht="61.5" customHeight="1" x14ac:dyDescent="0.3">
      <c r="B348" s="131" t="s">
        <v>90</v>
      </c>
      <c r="C348" s="132" t="s">
        <v>413</v>
      </c>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9"/>
      <c r="AL348" s="139"/>
      <c r="AM348" s="260"/>
      <c r="AN348" s="260"/>
      <c r="AO348" s="139"/>
      <c r="AP348" s="136"/>
      <c r="AQ348" s="136"/>
      <c r="AR348" s="139"/>
      <c r="AS348" s="136"/>
      <c r="AT348" s="136"/>
      <c r="AU348" s="136"/>
      <c r="AV348" s="136"/>
      <c r="AW348" s="136"/>
      <c r="AX348" s="136"/>
      <c r="AY348" s="136"/>
      <c r="AZ348" s="136"/>
      <c r="BA348" s="136"/>
      <c r="BB348" s="136"/>
      <c r="BC348" s="136"/>
      <c r="BD348" s="136"/>
      <c r="BE348" s="136"/>
      <c r="BF348" s="136"/>
      <c r="BG348" s="136"/>
      <c r="BH348" s="136"/>
      <c r="BI348" s="136"/>
      <c r="BJ348" s="136"/>
      <c r="BK348" s="139"/>
      <c r="BL348" s="139"/>
      <c r="BM348" s="139"/>
      <c r="BN348" s="139"/>
      <c r="BO348" s="139"/>
      <c r="BP348" s="139"/>
      <c r="BQ348" s="139"/>
      <c r="BR348" s="139"/>
      <c r="BS348" s="139"/>
      <c r="BT348" s="139"/>
      <c r="BU348" s="139"/>
      <c r="BV348" s="136"/>
      <c r="BW348" s="136"/>
      <c r="BX348" s="136"/>
      <c r="BY348" s="136"/>
      <c r="BZ348" s="136"/>
      <c r="CA348" s="136"/>
      <c r="CB348" s="136"/>
      <c r="CC348" s="136"/>
      <c r="CD348" s="136"/>
      <c r="CE348" s="139"/>
      <c r="CF348" s="139"/>
      <c r="CG348" s="136"/>
      <c r="CH348" s="136"/>
      <c r="CI348" s="136"/>
      <c r="CJ348" s="136"/>
      <c r="CK348" s="136"/>
      <c r="CL348" s="136"/>
      <c r="CM348" s="136"/>
      <c r="CN348" s="136"/>
      <c r="CO348" s="136"/>
      <c r="CP348" s="136"/>
      <c r="CQ348" s="136"/>
      <c r="CR348" s="136"/>
      <c r="CS348" s="136"/>
      <c r="CT348" s="136"/>
      <c r="CU348" s="136"/>
      <c r="CV348" s="136"/>
      <c r="CW348" s="136">
        <f>CX348+CY348</f>
        <v>0</v>
      </c>
      <c r="CX348" s="136">
        <f>CX349</f>
        <v>0</v>
      </c>
      <c r="CY348" s="136">
        <v>0</v>
      </c>
      <c r="CZ348" s="136"/>
      <c r="DA348" s="136"/>
      <c r="DB348" s="136"/>
      <c r="DC348" s="136"/>
      <c r="DD348" s="136"/>
      <c r="DE348" s="136"/>
      <c r="DF348" s="136">
        <f>DG348</f>
        <v>27165</v>
      </c>
      <c r="DG348" s="136">
        <f>DG349</f>
        <v>27165</v>
      </c>
      <c r="DH348" s="136">
        <v>0</v>
      </c>
      <c r="DI348" s="136">
        <f>DJ348</f>
        <v>27165</v>
      </c>
      <c r="DJ348" s="136">
        <f>DJ349</f>
        <v>27165</v>
      </c>
      <c r="DK348" s="136"/>
      <c r="DL348" s="136"/>
      <c r="DM348" s="136"/>
      <c r="DN348" s="136"/>
      <c r="DO348" s="136"/>
      <c r="DP348" s="136"/>
      <c r="DQ348" s="136"/>
      <c r="DR348" s="136"/>
      <c r="DS348" s="136"/>
      <c r="DT348" s="136"/>
      <c r="DU348" s="136">
        <f>DV348</f>
        <v>0</v>
      </c>
      <c r="DV348" s="136">
        <f>DV349</f>
        <v>0</v>
      </c>
      <c r="DW348" s="136"/>
      <c r="DX348" s="136"/>
      <c r="DY348" s="136"/>
      <c r="DZ348" s="136"/>
      <c r="EA348" s="136"/>
      <c r="EB348" s="136"/>
      <c r="EC348" s="136"/>
      <c r="ED348" s="136">
        <f>EE348</f>
        <v>38324.482799999998</v>
      </c>
      <c r="EE348" s="136">
        <f>EE349</f>
        <v>38324.482799999998</v>
      </c>
      <c r="EF348" s="136"/>
      <c r="EG348" s="136">
        <f>EH348</f>
        <v>38324.482799999998</v>
      </c>
      <c r="EH348" s="136">
        <f>EH349</f>
        <v>38324.482799999998</v>
      </c>
      <c r="EI348" s="136"/>
      <c r="EJ348" s="136"/>
      <c r="EK348" s="136">
        <f>EL348+EM348+EN348</f>
        <v>-38324.482799999998</v>
      </c>
      <c r="EL348" s="136">
        <f>EL349</f>
        <v>-38324.482799999998</v>
      </c>
      <c r="EM348" s="136">
        <f>EM349</f>
        <v>0</v>
      </c>
      <c r="EN348" s="136">
        <f>EN349</f>
        <v>0</v>
      </c>
      <c r="EO348" s="136">
        <f>EP348+EQ348+ER348</f>
        <v>38324.482799999998</v>
      </c>
      <c r="EP348" s="136">
        <f>EP349</f>
        <v>38324.482799999998</v>
      </c>
      <c r="EQ348" s="136">
        <f>EQ349</f>
        <v>0</v>
      </c>
      <c r="ER348" s="136">
        <f>ER349</f>
        <v>0</v>
      </c>
      <c r="ES348" s="136">
        <f>ET348+EU348+EV348</f>
        <v>0</v>
      </c>
      <c r="ET348" s="136">
        <f>ET349</f>
        <v>0</v>
      </c>
      <c r="EU348" s="136">
        <f>EU349</f>
        <v>0</v>
      </c>
      <c r="EV348" s="136">
        <f>EV349</f>
        <v>0</v>
      </c>
      <c r="EW348" s="136">
        <f>EX348</f>
        <v>0</v>
      </c>
      <c r="EX348" s="136">
        <f>EX349</f>
        <v>0</v>
      </c>
      <c r="EY348" s="136"/>
      <c r="EZ348" s="136">
        <f>FA348</f>
        <v>46836.060750000004</v>
      </c>
      <c r="FA348" s="136">
        <f>FA349</f>
        <v>46836.060750000004</v>
      </c>
      <c r="FB348" s="136"/>
      <c r="FC348" s="134">
        <f t="shared" ref="FC348:FC353" si="754">FD348</f>
        <v>46836.060750000004</v>
      </c>
      <c r="FD348" s="134">
        <f>FD349</f>
        <v>46836.060750000004</v>
      </c>
      <c r="FE348" s="134"/>
      <c r="FF348" s="134"/>
      <c r="FG348" s="134">
        <f>FH348</f>
        <v>0</v>
      </c>
      <c r="FH348" s="134">
        <f>FH349</f>
        <v>0</v>
      </c>
      <c r="FI348" s="134"/>
      <c r="FJ348" s="134"/>
      <c r="FK348" s="134">
        <f>FL348+FM348+FN348</f>
        <v>0</v>
      </c>
      <c r="FL348" s="134">
        <f>FL349</f>
        <v>0</v>
      </c>
      <c r="FM348" s="134">
        <f>FM349</f>
        <v>0</v>
      </c>
      <c r="FN348" s="134">
        <f>FN349</f>
        <v>0</v>
      </c>
      <c r="FO348" s="134">
        <f t="shared" ref="FO348:FO353" si="755">FP348</f>
        <v>46836.060750000004</v>
      </c>
      <c r="FP348" s="134">
        <f>FP349</f>
        <v>46836.060750000004</v>
      </c>
      <c r="FQ348" s="134"/>
      <c r="FR348" s="134"/>
      <c r="FS348" s="134">
        <f>FU348</f>
        <v>20177.992600000001</v>
      </c>
      <c r="FT348" s="576">
        <f t="shared" si="640"/>
        <v>0.43082172746562591</v>
      </c>
      <c r="FU348" s="134">
        <f>FU349</f>
        <v>20177.992600000001</v>
      </c>
      <c r="FV348" s="576">
        <f t="shared" si="641"/>
        <v>0.43082172746562591</v>
      </c>
      <c r="FW348" s="134"/>
      <c r="FX348" s="576">
        <v>0</v>
      </c>
      <c r="FY348" s="136"/>
      <c r="FZ348" s="670"/>
      <c r="GA348" s="134">
        <f>GC348</f>
        <v>20177.992600000001</v>
      </c>
      <c r="GB348" s="576">
        <f t="shared" ref="GB348:GB359" si="756">GA348/FC348</f>
        <v>0.43082172746562591</v>
      </c>
      <c r="GC348" s="134">
        <f>GC349</f>
        <v>20177.992600000001</v>
      </c>
      <c r="GD348" s="576">
        <f>GC348/FD348</f>
        <v>0.43082172746562591</v>
      </c>
      <c r="GE348" s="136"/>
      <c r="GF348" s="576"/>
      <c r="GG348" s="134"/>
      <c r="GH348" s="576"/>
      <c r="GI348" s="134">
        <f>GK348</f>
        <v>46836.057509999999</v>
      </c>
      <c r="GJ348" s="576">
        <f t="shared" si="658"/>
        <v>0.99999993082253391</v>
      </c>
      <c r="GK348" s="134">
        <f>GK349</f>
        <v>46836.057509999999</v>
      </c>
      <c r="GL348" s="576">
        <f t="shared" si="659"/>
        <v>0.99999993082253391</v>
      </c>
      <c r="GM348" s="134"/>
      <c r="GN348" s="576"/>
      <c r="GO348" s="134"/>
      <c r="GP348" s="576"/>
      <c r="GQ348" s="136"/>
      <c r="GR348" s="136"/>
      <c r="GS348" s="136"/>
      <c r="GT348" s="136"/>
      <c r="GU348" s="136">
        <f t="shared" ref="GU348:GU353" si="757">GV348</f>
        <v>20000</v>
      </c>
      <c r="GV348" s="136">
        <f>GV349</f>
        <v>20000</v>
      </c>
      <c r="GW348" s="136"/>
      <c r="GX348" s="136"/>
      <c r="GY348" s="136"/>
      <c r="GZ348" s="136"/>
      <c r="HA348" s="136"/>
      <c r="HB348" s="136"/>
      <c r="HC348" s="136"/>
      <c r="HD348" s="136"/>
      <c r="HE348" s="136"/>
      <c r="HF348" s="136"/>
      <c r="HG348" s="136">
        <f>HH348</f>
        <v>0</v>
      </c>
      <c r="HH348" s="136">
        <f>HP348-GV348</f>
        <v>0</v>
      </c>
      <c r="HI348" s="136"/>
      <c r="HJ348" s="136"/>
      <c r="HK348" s="136">
        <f>HL348</f>
        <v>0</v>
      </c>
      <c r="HL348" s="136">
        <f>IF348-GZ348</f>
        <v>0</v>
      </c>
      <c r="HM348" s="136"/>
      <c r="HN348" s="136"/>
      <c r="HO348" s="136">
        <f>HP348</f>
        <v>20000</v>
      </c>
      <c r="HP348" s="136">
        <f>HP349</f>
        <v>20000</v>
      </c>
      <c r="HQ348" s="136"/>
      <c r="HR348" s="136"/>
      <c r="HS348" s="136">
        <f>HT348</f>
        <v>20000</v>
      </c>
      <c r="HT348" s="136">
        <f>HT349</f>
        <v>20000</v>
      </c>
      <c r="HU348" s="136"/>
      <c r="HV348" s="136"/>
      <c r="HW348" s="136">
        <f>HX348</f>
        <v>0</v>
      </c>
      <c r="HX348" s="136">
        <f>IR348-HL348</f>
        <v>0</v>
      </c>
      <c r="HY348" s="136"/>
      <c r="HZ348" s="136"/>
      <c r="IA348" s="136">
        <f>IB348</f>
        <v>20000</v>
      </c>
      <c r="IB348" s="136">
        <f>IB349</f>
        <v>20000</v>
      </c>
      <c r="IC348" s="136"/>
      <c r="ID348" s="136"/>
      <c r="IE348" s="590" t="s">
        <v>414</v>
      </c>
      <c r="IF348" s="238"/>
      <c r="IG348" s="238"/>
      <c r="IH348" s="238"/>
    </row>
    <row r="349" spans="2:249" s="309" customFormat="1" ht="190.5" customHeight="1" x14ac:dyDescent="0.3">
      <c r="B349" s="241" t="s">
        <v>134</v>
      </c>
      <c r="C349" s="252" t="s">
        <v>415</v>
      </c>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6"/>
      <c r="AM349" s="111"/>
      <c r="AN349" s="111"/>
      <c r="AO349" s="106"/>
      <c r="AP349" s="105"/>
      <c r="AQ349" s="105"/>
      <c r="AR349" s="106"/>
      <c r="AS349" s="105"/>
      <c r="AT349" s="105"/>
      <c r="AU349" s="105"/>
      <c r="AV349" s="105"/>
      <c r="AW349" s="105"/>
      <c r="AX349" s="105"/>
      <c r="AY349" s="105"/>
      <c r="AZ349" s="105"/>
      <c r="BA349" s="105"/>
      <c r="BB349" s="105"/>
      <c r="BC349" s="105"/>
      <c r="BD349" s="105"/>
      <c r="BE349" s="105"/>
      <c r="BF349" s="105"/>
      <c r="BG349" s="105"/>
      <c r="BH349" s="105"/>
      <c r="BI349" s="105"/>
      <c r="BJ349" s="105"/>
      <c r="BK349" s="106"/>
      <c r="BL349" s="106"/>
      <c r="BM349" s="106"/>
      <c r="BN349" s="106"/>
      <c r="BO349" s="106"/>
      <c r="BP349" s="106"/>
      <c r="BQ349" s="106"/>
      <c r="BR349" s="106"/>
      <c r="BS349" s="106"/>
      <c r="BT349" s="106"/>
      <c r="BU349" s="106"/>
      <c r="BV349" s="105"/>
      <c r="BW349" s="105"/>
      <c r="BX349" s="105"/>
      <c r="BY349" s="105"/>
      <c r="BZ349" s="105"/>
      <c r="CA349" s="105"/>
      <c r="CB349" s="105"/>
      <c r="CC349" s="105"/>
      <c r="CD349" s="105"/>
      <c r="CE349" s="106"/>
      <c r="CF349" s="106"/>
      <c r="CG349" s="105"/>
      <c r="CH349" s="105"/>
      <c r="CI349" s="105"/>
      <c r="CJ349" s="105"/>
      <c r="CK349" s="105"/>
      <c r="CL349" s="105"/>
      <c r="CM349" s="105"/>
      <c r="CN349" s="105"/>
      <c r="CO349" s="105"/>
      <c r="CP349" s="105"/>
      <c r="CQ349" s="105"/>
      <c r="CR349" s="105"/>
      <c r="CS349" s="105"/>
      <c r="CT349" s="105"/>
      <c r="CU349" s="105"/>
      <c r="CV349" s="105"/>
      <c r="CW349" s="105">
        <f>CX349</f>
        <v>0</v>
      </c>
      <c r="CX349" s="105">
        <v>0</v>
      </c>
      <c r="CY349" s="105">
        <v>0</v>
      </c>
      <c r="CZ349" s="105"/>
      <c r="DA349" s="105"/>
      <c r="DB349" s="105"/>
      <c r="DC349" s="105"/>
      <c r="DD349" s="105"/>
      <c r="DE349" s="105"/>
      <c r="DF349" s="105">
        <f>DG349</f>
        <v>27165</v>
      </c>
      <c r="DG349" s="105">
        <f>DJ349-CX349</f>
        <v>27165</v>
      </c>
      <c r="DH349" s="105">
        <v>0</v>
      </c>
      <c r="DI349" s="105">
        <f>DJ349</f>
        <v>27165</v>
      </c>
      <c r="DJ349" s="105">
        <f>27165</f>
        <v>27165</v>
      </c>
      <c r="DK349" s="105">
        <v>0</v>
      </c>
      <c r="DL349" s="105"/>
      <c r="DM349" s="105"/>
      <c r="DN349" s="105"/>
      <c r="DO349" s="105"/>
      <c r="DP349" s="105"/>
      <c r="DQ349" s="105"/>
      <c r="DR349" s="105"/>
      <c r="DS349" s="105"/>
      <c r="DT349" s="105"/>
      <c r="DU349" s="105">
        <f>DV349</f>
        <v>0</v>
      </c>
      <c r="DV349" s="105">
        <v>0</v>
      </c>
      <c r="DW349" s="105"/>
      <c r="DX349" s="105"/>
      <c r="DY349" s="105"/>
      <c r="DZ349" s="105"/>
      <c r="EA349" s="105"/>
      <c r="EB349" s="105"/>
      <c r="EC349" s="105"/>
      <c r="ED349" s="105">
        <f>EE349</f>
        <v>38324.482799999998</v>
      </c>
      <c r="EE349" s="105">
        <f>EH349</f>
        <v>38324.482799999998</v>
      </c>
      <c r="EF349" s="105"/>
      <c r="EG349" s="105">
        <f>EH349</f>
        <v>38324.482799999998</v>
      </c>
      <c r="EH349" s="105">
        <v>38324.482799999998</v>
      </c>
      <c r="EI349" s="105"/>
      <c r="EJ349" s="105"/>
      <c r="EK349" s="105">
        <f>EL349</f>
        <v>-38324.482799999998</v>
      </c>
      <c r="EL349" s="105">
        <f>ET349-EH349</f>
        <v>-38324.482799999998</v>
      </c>
      <c r="EM349" s="105"/>
      <c r="EN349" s="105"/>
      <c r="EO349" s="105">
        <f>EP349</f>
        <v>38324.482799999998</v>
      </c>
      <c r="EP349" s="105">
        <f>EX349-EL349</f>
        <v>38324.482799999998</v>
      </c>
      <c r="EQ349" s="105"/>
      <c r="ER349" s="105"/>
      <c r="ES349" s="105">
        <f>ET349</f>
        <v>0</v>
      </c>
      <c r="ET349" s="105"/>
      <c r="EU349" s="105"/>
      <c r="EV349" s="105"/>
      <c r="EW349" s="105">
        <f>EX349</f>
        <v>0</v>
      </c>
      <c r="EX349" s="105">
        <v>0</v>
      </c>
      <c r="EY349" s="105"/>
      <c r="EZ349" s="105">
        <f>FA349</f>
        <v>46836.060750000004</v>
      </c>
      <c r="FA349" s="105">
        <f>FD349</f>
        <v>46836.060750000004</v>
      </c>
      <c r="FB349" s="105"/>
      <c r="FC349" s="103">
        <f t="shared" si="754"/>
        <v>46836.060750000004</v>
      </c>
      <c r="FD349" s="103">
        <f>FD350+FD351</f>
        <v>46836.060750000004</v>
      </c>
      <c r="FE349" s="103"/>
      <c r="FF349" s="103"/>
      <c r="FG349" s="103">
        <f>FH349</f>
        <v>0</v>
      </c>
      <c r="FH349" s="103">
        <f>FH351</f>
        <v>0</v>
      </c>
      <c r="FI349" s="103"/>
      <c r="FJ349" s="103"/>
      <c r="FK349" s="103">
        <f>FL349</f>
        <v>0</v>
      </c>
      <c r="FL349" s="103"/>
      <c r="FM349" s="103"/>
      <c r="FN349" s="103"/>
      <c r="FO349" s="103">
        <f t="shared" si="755"/>
        <v>46836.060750000004</v>
      </c>
      <c r="FP349" s="103">
        <f>FP350+FP351</f>
        <v>46836.060750000004</v>
      </c>
      <c r="FQ349" s="103"/>
      <c r="FR349" s="103"/>
      <c r="FS349" s="103">
        <f>FU349+FW349+FY349</f>
        <v>20177.992600000001</v>
      </c>
      <c r="FT349" s="577">
        <f t="shared" si="640"/>
        <v>0.43082172746562591</v>
      </c>
      <c r="FU349" s="103">
        <f>FU350+FU351</f>
        <v>20177.992600000001</v>
      </c>
      <c r="FV349" s="577">
        <f t="shared" si="641"/>
        <v>0.43082172746562591</v>
      </c>
      <c r="FW349" s="103"/>
      <c r="FX349" s="577">
        <v>0</v>
      </c>
      <c r="FY349" s="105"/>
      <c r="FZ349" s="672"/>
      <c r="GA349" s="103">
        <f>GC349+GE349+GG349</f>
        <v>20177.992600000001</v>
      </c>
      <c r="GB349" s="577">
        <f t="shared" si="756"/>
        <v>0.43082172746562591</v>
      </c>
      <c r="GC349" s="103">
        <v>20177.992600000001</v>
      </c>
      <c r="GD349" s="577">
        <f>GC349/FC349</f>
        <v>0.43082172746562591</v>
      </c>
      <c r="GE349" s="105"/>
      <c r="GF349" s="577"/>
      <c r="GG349" s="103"/>
      <c r="GH349" s="577"/>
      <c r="GI349" s="103">
        <f>GK349+GM349+GO349</f>
        <v>46836.057509999999</v>
      </c>
      <c r="GJ349" s="577">
        <f t="shared" si="658"/>
        <v>0.99999993082253391</v>
      </c>
      <c r="GK349" s="103">
        <f>GK350+GK351</f>
        <v>46836.057509999999</v>
      </c>
      <c r="GL349" s="577">
        <f t="shared" si="659"/>
        <v>0.99999993082253391</v>
      </c>
      <c r="GM349" s="103"/>
      <c r="GN349" s="577"/>
      <c r="GO349" s="103"/>
      <c r="GP349" s="577"/>
      <c r="GQ349" s="105"/>
      <c r="GR349" s="105"/>
      <c r="GS349" s="105"/>
      <c r="GT349" s="105"/>
      <c r="GU349" s="105">
        <f t="shared" si="757"/>
        <v>20000</v>
      </c>
      <c r="GV349" s="105">
        <f>GV350+GV351</f>
        <v>20000</v>
      </c>
      <c r="GW349" s="105"/>
      <c r="GX349" s="105"/>
      <c r="GY349" s="105"/>
      <c r="GZ349" s="105"/>
      <c r="HA349" s="105"/>
      <c r="HB349" s="105"/>
      <c r="HC349" s="105"/>
      <c r="HD349" s="105"/>
      <c r="HE349" s="105"/>
      <c r="HF349" s="105"/>
      <c r="HG349" s="105">
        <f>HH349</f>
        <v>0</v>
      </c>
      <c r="HH349" s="105">
        <f>HP349-GV349</f>
        <v>0</v>
      </c>
      <c r="HI349" s="105"/>
      <c r="HJ349" s="105"/>
      <c r="HK349" s="105">
        <f>HL349</f>
        <v>0</v>
      </c>
      <c r="HL349" s="105">
        <f>IF349-GZ349</f>
        <v>0</v>
      </c>
      <c r="HM349" s="105"/>
      <c r="HN349" s="105"/>
      <c r="HO349" s="105">
        <f>HP349</f>
        <v>20000</v>
      </c>
      <c r="HP349" s="105">
        <f>HP350</f>
        <v>20000</v>
      </c>
      <c r="HQ349" s="105"/>
      <c r="HR349" s="105"/>
      <c r="HS349" s="105">
        <f>HT349</f>
        <v>20000</v>
      </c>
      <c r="HT349" s="105">
        <v>20000</v>
      </c>
      <c r="HU349" s="105"/>
      <c r="HV349" s="105"/>
      <c r="HW349" s="105">
        <f>HX349</f>
        <v>0</v>
      </c>
      <c r="HX349" s="105">
        <f>IR349-HL349</f>
        <v>0</v>
      </c>
      <c r="HY349" s="105"/>
      <c r="HZ349" s="105"/>
      <c r="IA349" s="105">
        <f>IB349</f>
        <v>20000</v>
      </c>
      <c r="IB349" s="105">
        <f>IB350</f>
        <v>20000</v>
      </c>
      <c r="IC349" s="105"/>
      <c r="ID349" s="105"/>
      <c r="IE349" s="319"/>
      <c r="IF349" s="157"/>
      <c r="IG349" s="157"/>
      <c r="IH349" s="157"/>
    </row>
    <row r="350" spans="2:249" s="332" customFormat="1" ht="36.75" customHeight="1" x14ac:dyDescent="0.3">
      <c r="B350" s="330"/>
      <c r="C350" s="266" t="s">
        <v>416</v>
      </c>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68"/>
      <c r="AL350" s="168"/>
      <c r="AM350" s="223"/>
      <c r="AN350" s="223"/>
      <c r="AO350" s="168"/>
      <c r="AP350" s="144"/>
      <c r="AQ350" s="144"/>
      <c r="AR350" s="168"/>
      <c r="AS350" s="144"/>
      <c r="AT350" s="144"/>
      <c r="AU350" s="144"/>
      <c r="AV350" s="144"/>
      <c r="AW350" s="144"/>
      <c r="AX350" s="144"/>
      <c r="AY350" s="144"/>
      <c r="AZ350" s="144"/>
      <c r="BA350" s="144"/>
      <c r="BB350" s="144"/>
      <c r="BC350" s="144"/>
      <c r="BD350" s="144"/>
      <c r="BE350" s="144"/>
      <c r="BF350" s="144"/>
      <c r="BG350" s="144"/>
      <c r="BH350" s="144"/>
      <c r="BI350" s="144"/>
      <c r="BJ350" s="144"/>
      <c r="BK350" s="168"/>
      <c r="BL350" s="168"/>
      <c r="BM350" s="168"/>
      <c r="BN350" s="168"/>
      <c r="BO350" s="168"/>
      <c r="BP350" s="168"/>
      <c r="BQ350" s="168"/>
      <c r="BR350" s="168"/>
      <c r="BS350" s="168"/>
      <c r="BT350" s="168"/>
      <c r="BU350" s="168"/>
      <c r="BV350" s="144"/>
      <c r="BW350" s="144"/>
      <c r="BX350" s="144"/>
      <c r="BY350" s="144"/>
      <c r="BZ350" s="144"/>
      <c r="CA350" s="144"/>
      <c r="CB350" s="144"/>
      <c r="CC350" s="144"/>
      <c r="CD350" s="144"/>
      <c r="CE350" s="168"/>
      <c r="CF350" s="168"/>
      <c r="CG350" s="144"/>
      <c r="CH350" s="144"/>
      <c r="CI350" s="144"/>
      <c r="CJ350" s="144"/>
      <c r="CK350" s="144"/>
      <c r="CL350" s="144"/>
      <c r="CM350" s="144"/>
      <c r="CN350" s="144"/>
      <c r="CO350" s="144"/>
      <c r="CP350" s="144"/>
      <c r="CQ350" s="144"/>
      <c r="CR350" s="144"/>
      <c r="CS350" s="144"/>
      <c r="CT350" s="144"/>
      <c r="CU350" s="144"/>
      <c r="CV350" s="144"/>
      <c r="CW350" s="144"/>
      <c r="CX350" s="144"/>
      <c r="CY350" s="144"/>
      <c r="CZ350" s="144"/>
      <c r="DA350" s="144"/>
      <c r="DB350" s="144"/>
      <c r="DC350" s="144"/>
      <c r="DD350" s="144"/>
      <c r="DE350" s="144"/>
      <c r="DF350" s="144"/>
      <c r="DG350" s="144"/>
      <c r="DH350" s="144"/>
      <c r="DI350" s="144"/>
      <c r="DJ350" s="144"/>
      <c r="DK350" s="144"/>
      <c r="DL350" s="144"/>
      <c r="DM350" s="144"/>
      <c r="DN350" s="144"/>
      <c r="DO350" s="144"/>
      <c r="DP350" s="144"/>
      <c r="DQ350" s="144"/>
      <c r="DR350" s="144"/>
      <c r="DS350" s="144"/>
      <c r="DT350" s="144"/>
      <c r="DU350" s="144"/>
      <c r="DV350" s="144"/>
      <c r="DW350" s="144"/>
      <c r="DX350" s="144"/>
      <c r="DY350" s="144"/>
      <c r="DZ350" s="144"/>
      <c r="EA350" s="144"/>
      <c r="EB350" s="144"/>
      <c r="EC350" s="144"/>
      <c r="ED350" s="144"/>
      <c r="EE350" s="144"/>
      <c r="EF350" s="144"/>
      <c r="EG350" s="144"/>
      <c r="EH350" s="144"/>
      <c r="EI350" s="144"/>
      <c r="EJ350" s="144"/>
      <c r="EK350" s="144"/>
      <c r="EL350" s="144"/>
      <c r="EM350" s="144"/>
      <c r="EN350" s="144"/>
      <c r="EO350" s="144"/>
      <c r="EP350" s="144"/>
      <c r="EQ350" s="144"/>
      <c r="ER350" s="144"/>
      <c r="ES350" s="144"/>
      <c r="ET350" s="144"/>
      <c r="EU350" s="144"/>
      <c r="EV350" s="144"/>
      <c r="EW350" s="144"/>
      <c r="EX350" s="144"/>
      <c r="EY350" s="144"/>
      <c r="EZ350" s="144"/>
      <c r="FA350" s="144"/>
      <c r="FB350" s="144"/>
      <c r="FC350" s="143">
        <f t="shared" si="754"/>
        <v>20000</v>
      </c>
      <c r="FD350" s="143">
        <v>20000</v>
      </c>
      <c r="FE350" s="143"/>
      <c r="FF350" s="143"/>
      <c r="FG350" s="143"/>
      <c r="FH350" s="143"/>
      <c r="FI350" s="143"/>
      <c r="FJ350" s="143"/>
      <c r="FK350" s="143"/>
      <c r="FL350" s="143"/>
      <c r="FM350" s="143"/>
      <c r="FN350" s="143"/>
      <c r="FO350" s="143">
        <f t="shared" si="755"/>
        <v>20000</v>
      </c>
      <c r="FP350" s="143">
        <v>20000</v>
      </c>
      <c r="FQ350" s="143"/>
      <c r="FR350" s="143"/>
      <c r="FS350" s="143">
        <f>FU350</f>
        <v>0</v>
      </c>
      <c r="FT350" s="577">
        <f t="shared" si="640"/>
        <v>0</v>
      </c>
      <c r="FU350" s="143">
        <v>0</v>
      </c>
      <c r="FV350" s="577">
        <f t="shared" si="641"/>
        <v>0</v>
      </c>
      <c r="FW350" s="143"/>
      <c r="FX350" s="575">
        <v>0</v>
      </c>
      <c r="FY350" s="144"/>
      <c r="FZ350" s="672"/>
      <c r="GA350" s="143">
        <f>GC350</f>
        <v>0</v>
      </c>
      <c r="GB350" s="577">
        <f t="shared" si="756"/>
        <v>0</v>
      </c>
      <c r="GC350" s="143">
        <v>0</v>
      </c>
      <c r="GD350" s="577">
        <f>GC350/FC350</f>
        <v>0</v>
      </c>
      <c r="GE350" s="144"/>
      <c r="GF350" s="577"/>
      <c r="GG350" s="143"/>
      <c r="GH350" s="577"/>
      <c r="GI350" s="143">
        <f>GK350</f>
        <v>19999.996759999998</v>
      </c>
      <c r="GJ350" s="577">
        <f t="shared" si="658"/>
        <v>0.99999983799999992</v>
      </c>
      <c r="GK350" s="143">
        <f>46836.05751-GK351</f>
        <v>19999.996759999998</v>
      </c>
      <c r="GL350" s="577">
        <f t="shared" si="659"/>
        <v>0.99999983799999992</v>
      </c>
      <c r="GM350" s="143"/>
      <c r="GN350" s="577"/>
      <c r="GO350" s="143"/>
      <c r="GP350" s="577"/>
      <c r="GQ350" s="144"/>
      <c r="GR350" s="144"/>
      <c r="GS350" s="144"/>
      <c r="GT350" s="144"/>
      <c r="GU350" s="144">
        <f t="shared" si="757"/>
        <v>20000</v>
      </c>
      <c r="GV350" s="144">
        <f>FD350</f>
        <v>20000</v>
      </c>
      <c r="GW350" s="144"/>
      <c r="GX350" s="144"/>
      <c r="GY350" s="144"/>
      <c r="GZ350" s="144"/>
      <c r="HA350" s="144"/>
      <c r="HB350" s="144"/>
      <c r="HC350" s="144"/>
      <c r="HD350" s="144"/>
      <c r="HE350" s="144"/>
      <c r="HF350" s="144"/>
      <c r="HG350" s="144"/>
      <c r="HH350" s="144"/>
      <c r="HI350" s="144"/>
      <c r="HJ350" s="144"/>
      <c r="HK350" s="144"/>
      <c r="HL350" s="144"/>
      <c r="HM350" s="144"/>
      <c r="HN350" s="144"/>
      <c r="HO350" s="144">
        <f>HP350</f>
        <v>20000</v>
      </c>
      <c r="HP350" s="144">
        <v>20000</v>
      </c>
      <c r="HQ350" s="144"/>
      <c r="HR350" s="144"/>
      <c r="HS350" s="144">
        <f>HT350</f>
        <v>20000</v>
      </c>
      <c r="HT350" s="144">
        <v>20000</v>
      </c>
      <c r="HU350" s="144"/>
      <c r="HV350" s="144"/>
      <c r="HW350" s="144"/>
      <c r="HX350" s="144"/>
      <c r="HY350" s="144"/>
      <c r="HZ350" s="144"/>
      <c r="IA350" s="144">
        <f>IB350</f>
        <v>20000</v>
      </c>
      <c r="IB350" s="144">
        <v>20000</v>
      </c>
      <c r="IC350" s="144"/>
      <c r="ID350" s="144"/>
      <c r="IE350" s="305"/>
      <c r="IF350" s="331"/>
      <c r="IG350" s="331"/>
      <c r="IH350" s="331"/>
    </row>
    <row r="351" spans="2:249" s="332" customFormat="1" ht="54" customHeight="1" x14ac:dyDescent="0.3">
      <c r="B351" s="330"/>
      <c r="C351" s="266" t="s">
        <v>492</v>
      </c>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68"/>
      <c r="AL351" s="168"/>
      <c r="AM351" s="223"/>
      <c r="AN351" s="223"/>
      <c r="AO351" s="168"/>
      <c r="AP351" s="144"/>
      <c r="AQ351" s="144"/>
      <c r="AR351" s="168"/>
      <c r="AS351" s="144"/>
      <c r="AT351" s="144"/>
      <c r="AU351" s="144"/>
      <c r="AV351" s="144"/>
      <c r="AW351" s="144"/>
      <c r="AX351" s="144"/>
      <c r="AY351" s="144"/>
      <c r="AZ351" s="144"/>
      <c r="BA351" s="144"/>
      <c r="BB351" s="144"/>
      <c r="BC351" s="144"/>
      <c r="BD351" s="144"/>
      <c r="BE351" s="144"/>
      <c r="BF351" s="144"/>
      <c r="BG351" s="144"/>
      <c r="BH351" s="144"/>
      <c r="BI351" s="144"/>
      <c r="BJ351" s="144"/>
      <c r="BK351" s="168"/>
      <c r="BL351" s="168"/>
      <c r="BM351" s="168"/>
      <c r="BN351" s="168"/>
      <c r="BO351" s="168"/>
      <c r="BP351" s="168"/>
      <c r="BQ351" s="168"/>
      <c r="BR351" s="168"/>
      <c r="BS351" s="168"/>
      <c r="BT351" s="168"/>
      <c r="BU351" s="168"/>
      <c r="BV351" s="144"/>
      <c r="BW351" s="144"/>
      <c r="BX351" s="144"/>
      <c r="BY351" s="144"/>
      <c r="BZ351" s="144"/>
      <c r="CA351" s="144"/>
      <c r="CB351" s="144"/>
      <c r="CC351" s="144"/>
      <c r="CD351" s="144"/>
      <c r="CE351" s="168"/>
      <c r="CF351" s="168"/>
      <c r="CG351" s="144"/>
      <c r="CH351" s="144"/>
      <c r="CI351" s="144"/>
      <c r="CJ351" s="144"/>
      <c r="CK351" s="144"/>
      <c r="CL351" s="144"/>
      <c r="CM351" s="144"/>
      <c r="CN351" s="144"/>
      <c r="CO351" s="144"/>
      <c r="CP351" s="144"/>
      <c r="CQ351" s="144"/>
      <c r="CR351" s="144"/>
      <c r="CS351" s="144"/>
      <c r="CT351" s="144"/>
      <c r="CU351" s="144"/>
      <c r="CV351" s="144"/>
      <c r="CW351" s="144"/>
      <c r="CX351" s="144"/>
      <c r="CY351" s="144"/>
      <c r="CZ351" s="144"/>
      <c r="DA351" s="144"/>
      <c r="DB351" s="144"/>
      <c r="DC351" s="144"/>
      <c r="DD351" s="144"/>
      <c r="DE351" s="144"/>
      <c r="DF351" s="144"/>
      <c r="DG351" s="144"/>
      <c r="DH351" s="144"/>
      <c r="DI351" s="144"/>
      <c r="DJ351" s="144"/>
      <c r="DK351" s="144"/>
      <c r="DL351" s="144"/>
      <c r="DM351" s="144"/>
      <c r="DN351" s="144"/>
      <c r="DO351" s="144"/>
      <c r="DP351" s="144"/>
      <c r="DQ351" s="144"/>
      <c r="DR351" s="144"/>
      <c r="DS351" s="144"/>
      <c r="DT351" s="144"/>
      <c r="DU351" s="144"/>
      <c r="DV351" s="144"/>
      <c r="DW351" s="144"/>
      <c r="DX351" s="144"/>
      <c r="DY351" s="144"/>
      <c r="DZ351" s="144"/>
      <c r="EA351" s="144"/>
      <c r="EB351" s="144"/>
      <c r="EC351" s="144"/>
      <c r="ED351" s="144"/>
      <c r="EE351" s="144"/>
      <c r="EF351" s="144"/>
      <c r="EG351" s="144"/>
      <c r="EH351" s="144"/>
      <c r="EI351" s="144"/>
      <c r="EJ351" s="144"/>
      <c r="EK351" s="144"/>
      <c r="EL351" s="144"/>
      <c r="EM351" s="144"/>
      <c r="EN351" s="144"/>
      <c r="EO351" s="144"/>
      <c r="EP351" s="144"/>
      <c r="EQ351" s="144"/>
      <c r="ER351" s="144"/>
      <c r="ES351" s="144"/>
      <c r="ET351" s="144"/>
      <c r="EU351" s="144"/>
      <c r="EV351" s="144"/>
      <c r="EW351" s="144"/>
      <c r="EX351" s="144"/>
      <c r="EY351" s="144"/>
      <c r="EZ351" s="144"/>
      <c r="FA351" s="144"/>
      <c r="FB351" s="144"/>
      <c r="FC351" s="143">
        <f t="shared" si="754"/>
        <v>26836.060750000001</v>
      </c>
      <c r="FD351" s="143">
        <v>26836.060750000001</v>
      </c>
      <c r="FE351" s="143"/>
      <c r="FF351" s="143"/>
      <c r="FG351" s="143">
        <f>FH351</f>
        <v>0</v>
      </c>
      <c r="FH351" s="143">
        <f>FP351-FD351</f>
        <v>0</v>
      </c>
      <c r="FI351" s="143"/>
      <c r="FJ351" s="143"/>
      <c r="FK351" s="143"/>
      <c r="FL351" s="143"/>
      <c r="FM351" s="143"/>
      <c r="FN351" s="143"/>
      <c r="FO351" s="143">
        <f t="shared" si="755"/>
        <v>26836.060750000004</v>
      </c>
      <c r="FP351" s="143">
        <f>18324.4828+8511.57795</f>
        <v>26836.060750000004</v>
      </c>
      <c r="FQ351" s="143"/>
      <c r="FR351" s="143"/>
      <c r="FS351" s="143">
        <f>FU351</f>
        <v>20177.992600000001</v>
      </c>
      <c r="FT351" s="577">
        <f t="shared" si="640"/>
        <v>0.75189845439591951</v>
      </c>
      <c r="FU351" s="143">
        <v>20177.992600000001</v>
      </c>
      <c r="FV351" s="577">
        <f t="shared" si="641"/>
        <v>0.75189845439591951</v>
      </c>
      <c r="FW351" s="143"/>
      <c r="FX351" s="575">
        <v>0</v>
      </c>
      <c r="FY351" s="144"/>
      <c r="FZ351" s="672"/>
      <c r="GA351" s="143">
        <f>GC351</f>
        <v>20177.992600000001</v>
      </c>
      <c r="GB351" s="577">
        <f t="shared" si="756"/>
        <v>0.75189845439591951</v>
      </c>
      <c r="GC351" s="143">
        <v>20177.992600000001</v>
      </c>
      <c r="GD351" s="577">
        <f>GC351/FC351</f>
        <v>0.75189845439591951</v>
      </c>
      <c r="GE351" s="144"/>
      <c r="GF351" s="577"/>
      <c r="GG351" s="143"/>
      <c r="GH351" s="577"/>
      <c r="GI351" s="143">
        <f>GK351</f>
        <v>26836.060750000001</v>
      </c>
      <c r="GJ351" s="577">
        <f t="shared" si="658"/>
        <v>1</v>
      </c>
      <c r="GK351" s="143">
        <v>26836.060750000001</v>
      </c>
      <c r="GL351" s="577">
        <f t="shared" si="659"/>
        <v>1</v>
      </c>
      <c r="GM351" s="143"/>
      <c r="GN351" s="577"/>
      <c r="GO351" s="143"/>
      <c r="GP351" s="577"/>
      <c r="GQ351" s="144"/>
      <c r="GR351" s="144"/>
      <c r="GS351" s="144"/>
      <c r="GT351" s="144"/>
      <c r="GU351" s="144">
        <f t="shared" si="757"/>
        <v>0</v>
      </c>
      <c r="GV351" s="144"/>
      <c r="GW351" s="144"/>
      <c r="GX351" s="144"/>
      <c r="GY351" s="144"/>
      <c r="GZ351" s="144"/>
      <c r="HA351" s="144"/>
      <c r="HB351" s="144"/>
      <c r="HC351" s="144"/>
      <c r="HD351" s="144"/>
      <c r="HE351" s="144"/>
      <c r="HF351" s="144"/>
      <c r="HG351" s="144"/>
      <c r="HH351" s="144"/>
      <c r="HI351" s="144"/>
      <c r="HJ351" s="144"/>
      <c r="HK351" s="144"/>
      <c r="HL351" s="144"/>
      <c r="HM351" s="144"/>
      <c r="HN351" s="144"/>
      <c r="HO351" s="144"/>
      <c r="HP351" s="144"/>
      <c r="HQ351" s="144"/>
      <c r="HR351" s="144"/>
      <c r="HS351" s="144"/>
      <c r="HT351" s="144"/>
      <c r="HU351" s="144"/>
      <c r="HV351" s="144"/>
      <c r="HW351" s="144"/>
      <c r="HX351" s="144"/>
      <c r="HY351" s="144"/>
      <c r="HZ351" s="144"/>
      <c r="IA351" s="144"/>
      <c r="IB351" s="144"/>
      <c r="IC351" s="144"/>
      <c r="ID351" s="144"/>
      <c r="IE351" s="305"/>
      <c r="IF351" s="331"/>
      <c r="IG351" s="331"/>
      <c r="IH351" s="331"/>
    </row>
    <row r="352" spans="2:249" s="591" customFormat="1" ht="68.25" customHeight="1" x14ac:dyDescent="0.3">
      <c r="B352" s="333">
        <v>15</v>
      </c>
      <c r="C352" s="260" t="s">
        <v>417</v>
      </c>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9"/>
      <c r="AL352" s="139"/>
      <c r="AM352" s="260"/>
      <c r="AN352" s="260"/>
      <c r="AO352" s="139"/>
      <c r="AP352" s="136"/>
      <c r="AQ352" s="136"/>
      <c r="AR352" s="139"/>
      <c r="AS352" s="136"/>
      <c r="AT352" s="136"/>
      <c r="AU352" s="136"/>
      <c r="AV352" s="136"/>
      <c r="AW352" s="136"/>
      <c r="AX352" s="136"/>
      <c r="AY352" s="136"/>
      <c r="AZ352" s="136"/>
      <c r="BA352" s="136"/>
      <c r="BB352" s="136"/>
      <c r="BC352" s="136"/>
      <c r="BD352" s="136"/>
      <c r="BE352" s="136"/>
      <c r="BF352" s="136"/>
      <c r="BG352" s="136"/>
      <c r="BH352" s="136"/>
      <c r="BI352" s="136"/>
      <c r="BJ352" s="136"/>
      <c r="BK352" s="139"/>
      <c r="BL352" s="139"/>
      <c r="BM352" s="139"/>
      <c r="BN352" s="139"/>
      <c r="BO352" s="139"/>
      <c r="BP352" s="139"/>
      <c r="BQ352" s="139"/>
      <c r="BR352" s="139"/>
      <c r="BS352" s="139"/>
      <c r="BT352" s="139"/>
      <c r="BU352" s="139"/>
      <c r="BV352" s="136"/>
      <c r="BW352" s="136"/>
      <c r="BX352" s="136"/>
      <c r="BY352" s="136"/>
      <c r="BZ352" s="136"/>
      <c r="CA352" s="136"/>
      <c r="CB352" s="136"/>
      <c r="CC352" s="136"/>
      <c r="CD352" s="136"/>
      <c r="CE352" s="139"/>
      <c r="CF352" s="139"/>
      <c r="CG352" s="136"/>
      <c r="CH352" s="136"/>
      <c r="CI352" s="136"/>
      <c r="CJ352" s="136"/>
      <c r="CK352" s="136"/>
      <c r="CL352" s="136"/>
      <c r="CM352" s="136"/>
      <c r="CN352" s="136"/>
      <c r="CO352" s="136"/>
      <c r="CP352" s="136"/>
      <c r="CQ352" s="136"/>
      <c r="CR352" s="136"/>
      <c r="CS352" s="136"/>
      <c r="CT352" s="136"/>
      <c r="CU352" s="136"/>
      <c r="CV352" s="136"/>
      <c r="CW352" s="136">
        <f>CX352+CY352</f>
        <v>0</v>
      </c>
      <c r="CX352" s="136">
        <f>CX353</f>
        <v>0</v>
      </c>
      <c r="CY352" s="136">
        <v>0</v>
      </c>
      <c r="CZ352" s="136"/>
      <c r="DA352" s="136"/>
      <c r="DB352" s="136"/>
      <c r="DC352" s="136"/>
      <c r="DD352" s="136"/>
      <c r="DE352" s="136"/>
      <c r="DF352" s="136">
        <f>DG352</f>
        <v>27165</v>
      </c>
      <c r="DG352" s="136">
        <f>DG353</f>
        <v>27165</v>
      </c>
      <c r="DH352" s="136">
        <v>0</v>
      </c>
      <c r="DI352" s="136">
        <f>DJ352</f>
        <v>27165</v>
      </c>
      <c r="DJ352" s="136">
        <f>DJ353</f>
        <v>27165</v>
      </c>
      <c r="DK352" s="136"/>
      <c r="DL352" s="136"/>
      <c r="DM352" s="136"/>
      <c r="DN352" s="136"/>
      <c r="DO352" s="136"/>
      <c r="DP352" s="136"/>
      <c r="DQ352" s="136"/>
      <c r="DR352" s="136"/>
      <c r="DS352" s="136"/>
      <c r="DT352" s="136"/>
      <c r="DU352" s="136">
        <f>DV352</f>
        <v>0</v>
      </c>
      <c r="DV352" s="136">
        <f>DV353</f>
        <v>0</v>
      </c>
      <c r="DW352" s="136"/>
      <c r="DX352" s="136"/>
      <c r="DY352" s="136"/>
      <c r="DZ352" s="136"/>
      <c r="EA352" s="136"/>
      <c r="EB352" s="136"/>
      <c r="EC352" s="136"/>
      <c r="ED352" s="136">
        <f>EE352</f>
        <v>129025.8441</v>
      </c>
      <c r="EE352" s="136">
        <f>EE353</f>
        <v>129025.8441</v>
      </c>
      <c r="EF352" s="136"/>
      <c r="EG352" s="136">
        <f>EH352</f>
        <v>129025.8441</v>
      </c>
      <c r="EH352" s="136">
        <f>EH353</f>
        <v>129025.8441</v>
      </c>
      <c r="EI352" s="136"/>
      <c r="EJ352" s="136"/>
      <c r="EK352" s="136">
        <f>EL352+EM352+EN352</f>
        <v>-129025.8441</v>
      </c>
      <c r="EL352" s="136">
        <f>EL353</f>
        <v>-129025.8441</v>
      </c>
      <c r="EM352" s="136">
        <f>EM353</f>
        <v>0</v>
      </c>
      <c r="EN352" s="136">
        <f>EN353</f>
        <v>0</v>
      </c>
      <c r="EO352" s="136">
        <f>EP352+EQ352+ER352</f>
        <v>129025.8441</v>
      </c>
      <c r="EP352" s="136">
        <f>EP353</f>
        <v>129025.8441</v>
      </c>
      <c r="EQ352" s="136">
        <f>EQ353</f>
        <v>0</v>
      </c>
      <c r="ER352" s="136">
        <f>ER353</f>
        <v>0</v>
      </c>
      <c r="ES352" s="136">
        <f>ET352+EU352+EV352</f>
        <v>0</v>
      </c>
      <c r="ET352" s="136">
        <f>ET353</f>
        <v>0</v>
      </c>
      <c r="EU352" s="136">
        <f>EU353</f>
        <v>0</v>
      </c>
      <c r="EV352" s="136">
        <f>EV353</f>
        <v>0</v>
      </c>
      <c r="EW352" s="136">
        <f>EX352</f>
        <v>0</v>
      </c>
      <c r="EX352" s="136">
        <f>EX353</f>
        <v>0</v>
      </c>
      <c r="EY352" s="136"/>
      <c r="EZ352" s="136">
        <f>FA352</f>
        <v>148313.40560999999</v>
      </c>
      <c r="FA352" s="136">
        <f>FA353</f>
        <v>148313.40560999999</v>
      </c>
      <c r="FB352" s="136"/>
      <c r="FC352" s="134">
        <f t="shared" si="754"/>
        <v>148313.40560999999</v>
      </c>
      <c r="FD352" s="134">
        <f>FD353</f>
        <v>148313.40560999999</v>
      </c>
      <c r="FE352" s="134"/>
      <c r="FF352" s="134"/>
      <c r="FG352" s="134">
        <f>FH352+FI352+FJ352</f>
        <v>0</v>
      </c>
      <c r="FH352" s="134">
        <f>FH353</f>
        <v>0</v>
      </c>
      <c r="FI352" s="134"/>
      <c r="FJ352" s="134"/>
      <c r="FK352" s="134">
        <f>FL352+FM352+FN352</f>
        <v>0</v>
      </c>
      <c r="FL352" s="134">
        <f>FL353</f>
        <v>0</v>
      </c>
      <c r="FM352" s="134">
        <f>FM353</f>
        <v>0</v>
      </c>
      <c r="FN352" s="134">
        <f>FN353</f>
        <v>0</v>
      </c>
      <c r="FO352" s="134">
        <f t="shared" si="755"/>
        <v>148313.40561000002</v>
      </c>
      <c r="FP352" s="134">
        <f>FP353</f>
        <v>148313.40561000002</v>
      </c>
      <c r="FQ352" s="134"/>
      <c r="FR352" s="134"/>
      <c r="FS352" s="134">
        <f>FU352</f>
        <v>31125.079519999999</v>
      </c>
      <c r="FT352" s="576">
        <f t="shared" si="640"/>
        <v>0.20986019026388941</v>
      </c>
      <c r="FU352" s="134">
        <f>FU353</f>
        <v>31125.079519999999</v>
      </c>
      <c r="FV352" s="576">
        <f t="shared" si="641"/>
        <v>0.20986019026388941</v>
      </c>
      <c r="FW352" s="134"/>
      <c r="FX352" s="576">
        <v>0</v>
      </c>
      <c r="FY352" s="136"/>
      <c r="FZ352" s="670"/>
      <c r="GA352" s="134">
        <f>GC352</f>
        <v>22830.567520000001</v>
      </c>
      <c r="GB352" s="576">
        <f t="shared" si="756"/>
        <v>0.15393461856060742</v>
      </c>
      <c r="GC352" s="134">
        <f>GC353</f>
        <v>22830.567520000001</v>
      </c>
      <c r="GD352" s="576">
        <f t="shared" ref="GD352:GD357" si="758">GC352/FD352</f>
        <v>0.15393461856060742</v>
      </c>
      <c r="GE352" s="136"/>
      <c r="GF352" s="576"/>
      <c r="GG352" s="134"/>
      <c r="GH352" s="576"/>
      <c r="GI352" s="134">
        <f>GK352</f>
        <v>148304.16138000001</v>
      </c>
      <c r="GJ352" s="576">
        <f t="shared" si="658"/>
        <v>0.9999376709747716</v>
      </c>
      <c r="GK352" s="134">
        <f>GK353</f>
        <v>148304.16138000001</v>
      </c>
      <c r="GL352" s="576">
        <f t="shared" si="659"/>
        <v>0.9999376709747716</v>
      </c>
      <c r="GM352" s="134"/>
      <c r="GN352" s="576"/>
      <c r="GO352" s="134"/>
      <c r="GP352" s="576"/>
      <c r="GQ352" s="136"/>
      <c r="GR352" s="136"/>
      <c r="GS352" s="136"/>
      <c r="GT352" s="136"/>
      <c r="GU352" s="136">
        <f t="shared" si="757"/>
        <v>130000</v>
      </c>
      <c r="GV352" s="136">
        <f>GV353</f>
        <v>130000</v>
      </c>
      <c r="GW352" s="136"/>
      <c r="GX352" s="136"/>
      <c r="GY352" s="136"/>
      <c r="GZ352" s="136"/>
      <c r="HA352" s="136"/>
      <c r="HB352" s="136"/>
      <c r="HC352" s="136"/>
      <c r="HD352" s="136"/>
      <c r="HE352" s="136"/>
      <c r="HF352" s="136"/>
      <c r="HG352" s="136">
        <f>HH352</f>
        <v>0</v>
      </c>
      <c r="HH352" s="136">
        <f>HP352-GV352</f>
        <v>0</v>
      </c>
      <c r="HI352" s="136"/>
      <c r="HJ352" s="136"/>
      <c r="HK352" s="136">
        <f>HL352</f>
        <v>0</v>
      </c>
      <c r="HL352" s="136">
        <f>IF352-GZ352</f>
        <v>0</v>
      </c>
      <c r="HM352" s="136"/>
      <c r="HN352" s="136"/>
      <c r="HO352" s="136">
        <f>HP352</f>
        <v>130000</v>
      </c>
      <c r="HP352" s="136">
        <f>HP353</f>
        <v>130000</v>
      </c>
      <c r="HQ352" s="136"/>
      <c r="HR352" s="136"/>
      <c r="HS352" s="136">
        <f>HT352</f>
        <v>295032.8</v>
      </c>
      <c r="HT352" s="136">
        <f>HT353</f>
        <v>295032.8</v>
      </c>
      <c r="HU352" s="136"/>
      <c r="HV352" s="136"/>
      <c r="HW352" s="136">
        <f>HX352</f>
        <v>0</v>
      </c>
      <c r="HX352" s="136">
        <f>IR352-HL352</f>
        <v>0</v>
      </c>
      <c r="HY352" s="136"/>
      <c r="HZ352" s="136"/>
      <c r="IA352" s="136">
        <f>IB352</f>
        <v>295032.8</v>
      </c>
      <c r="IB352" s="136">
        <f>IB353</f>
        <v>295032.8</v>
      </c>
      <c r="IC352" s="136"/>
      <c r="ID352" s="136"/>
      <c r="IE352" s="590" t="s">
        <v>418</v>
      </c>
      <c r="IF352" s="238"/>
      <c r="IG352" s="238"/>
      <c r="IH352" s="238"/>
    </row>
    <row r="353" spans="1:249" s="309" customFormat="1" ht="199.5" customHeight="1" x14ac:dyDescent="0.3">
      <c r="B353" s="334" t="s">
        <v>134</v>
      </c>
      <c r="C353" s="252" t="s">
        <v>415</v>
      </c>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6"/>
      <c r="AM353" s="111"/>
      <c r="AN353" s="111"/>
      <c r="AO353" s="106"/>
      <c r="AP353" s="105"/>
      <c r="AQ353" s="105"/>
      <c r="AR353" s="106"/>
      <c r="AS353" s="105"/>
      <c r="AT353" s="105"/>
      <c r="AU353" s="105"/>
      <c r="AV353" s="105"/>
      <c r="AW353" s="105"/>
      <c r="AX353" s="105"/>
      <c r="AY353" s="105"/>
      <c r="AZ353" s="105"/>
      <c r="BA353" s="105"/>
      <c r="BB353" s="105"/>
      <c r="BC353" s="105"/>
      <c r="BD353" s="105"/>
      <c r="BE353" s="105"/>
      <c r="BF353" s="105"/>
      <c r="BG353" s="105"/>
      <c r="BH353" s="105"/>
      <c r="BI353" s="105"/>
      <c r="BJ353" s="105"/>
      <c r="BK353" s="106"/>
      <c r="BL353" s="106"/>
      <c r="BM353" s="106"/>
      <c r="BN353" s="106"/>
      <c r="BO353" s="106"/>
      <c r="BP353" s="106"/>
      <c r="BQ353" s="106"/>
      <c r="BR353" s="106"/>
      <c r="BS353" s="106"/>
      <c r="BT353" s="106"/>
      <c r="BU353" s="106"/>
      <c r="BV353" s="105"/>
      <c r="BW353" s="105"/>
      <c r="BX353" s="105"/>
      <c r="BY353" s="105"/>
      <c r="BZ353" s="105"/>
      <c r="CA353" s="105"/>
      <c r="CB353" s="105"/>
      <c r="CC353" s="105"/>
      <c r="CD353" s="105"/>
      <c r="CE353" s="106"/>
      <c r="CF353" s="106"/>
      <c r="CG353" s="105"/>
      <c r="CH353" s="105"/>
      <c r="CI353" s="105"/>
      <c r="CJ353" s="105"/>
      <c r="CK353" s="105"/>
      <c r="CL353" s="105"/>
      <c r="CM353" s="105"/>
      <c r="CN353" s="105"/>
      <c r="CO353" s="105"/>
      <c r="CP353" s="105"/>
      <c r="CQ353" s="105"/>
      <c r="CR353" s="105"/>
      <c r="CS353" s="105"/>
      <c r="CT353" s="105"/>
      <c r="CU353" s="105"/>
      <c r="CV353" s="105"/>
      <c r="CW353" s="105">
        <f>CX353</f>
        <v>0</v>
      </c>
      <c r="CX353" s="105">
        <v>0</v>
      </c>
      <c r="CY353" s="105">
        <v>0</v>
      </c>
      <c r="CZ353" s="105"/>
      <c r="DA353" s="105"/>
      <c r="DB353" s="105"/>
      <c r="DC353" s="105"/>
      <c r="DD353" s="105"/>
      <c r="DE353" s="105"/>
      <c r="DF353" s="105">
        <f>DG353</f>
        <v>27165</v>
      </c>
      <c r="DG353" s="105">
        <f>DJ353-CX353</f>
        <v>27165</v>
      </c>
      <c r="DH353" s="105">
        <v>0</v>
      </c>
      <c r="DI353" s="105">
        <f>DJ353</f>
        <v>27165</v>
      </c>
      <c r="DJ353" s="105">
        <f>27165</f>
        <v>27165</v>
      </c>
      <c r="DK353" s="105">
        <v>0</v>
      </c>
      <c r="DL353" s="105"/>
      <c r="DM353" s="105"/>
      <c r="DN353" s="105"/>
      <c r="DO353" s="105"/>
      <c r="DP353" s="105"/>
      <c r="DQ353" s="105"/>
      <c r="DR353" s="105"/>
      <c r="DS353" s="105"/>
      <c r="DT353" s="105"/>
      <c r="DU353" s="105">
        <f>DV353</f>
        <v>0</v>
      </c>
      <c r="DV353" s="105">
        <v>0</v>
      </c>
      <c r="DW353" s="105"/>
      <c r="DX353" s="105"/>
      <c r="DY353" s="105"/>
      <c r="DZ353" s="105"/>
      <c r="EA353" s="105"/>
      <c r="EB353" s="105"/>
      <c r="EC353" s="105"/>
      <c r="ED353" s="105">
        <f>EE353</f>
        <v>129025.8441</v>
      </c>
      <c r="EE353" s="105">
        <f>EH353</f>
        <v>129025.8441</v>
      </c>
      <c r="EF353" s="105"/>
      <c r="EG353" s="105">
        <f>EH353</f>
        <v>129025.8441</v>
      </c>
      <c r="EH353" s="105">
        <v>129025.8441</v>
      </c>
      <c r="EI353" s="105"/>
      <c r="EJ353" s="105"/>
      <c r="EK353" s="105">
        <f>EL353</f>
        <v>-129025.8441</v>
      </c>
      <c r="EL353" s="105">
        <f>ET353-EH353</f>
        <v>-129025.8441</v>
      </c>
      <c r="EM353" s="105"/>
      <c r="EN353" s="105"/>
      <c r="EO353" s="105">
        <f>EP353</f>
        <v>129025.8441</v>
      </c>
      <c r="EP353" s="105">
        <f>EX353-EL353</f>
        <v>129025.8441</v>
      </c>
      <c r="EQ353" s="105"/>
      <c r="ER353" s="105"/>
      <c r="ES353" s="105">
        <f>ET353</f>
        <v>0</v>
      </c>
      <c r="ET353" s="105"/>
      <c r="EU353" s="105"/>
      <c r="EV353" s="105"/>
      <c r="EW353" s="105">
        <f>EX353</f>
        <v>0</v>
      </c>
      <c r="EX353" s="105">
        <v>0</v>
      </c>
      <c r="EY353" s="105"/>
      <c r="EZ353" s="105">
        <f>FA353</f>
        <v>148313.40560999999</v>
      </c>
      <c r="FA353" s="105">
        <f>FD353</f>
        <v>148313.40560999999</v>
      </c>
      <c r="FB353" s="105"/>
      <c r="FC353" s="103">
        <f t="shared" si="754"/>
        <v>148313.40560999999</v>
      </c>
      <c r="FD353" s="103">
        <f>148313.40561</f>
        <v>148313.40560999999</v>
      </c>
      <c r="FE353" s="103"/>
      <c r="FF353" s="103"/>
      <c r="FG353" s="103">
        <f>FH353</f>
        <v>0</v>
      </c>
      <c r="FH353" s="103">
        <f>FP353-FD353</f>
        <v>0</v>
      </c>
      <c r="FI353" s="103"/>
      <c r="FJ353" s="103"/>
      <c r="FK353" s="103">
        <f>FL353</f>
        <v>0</v>
      </c>
      <c r="FL353" s="103"/>
      <c r="FM353" s="103"/>
      <c r="FN353" s="103"/>
      <c r="FO353" s="103">
        <f t="shared" si="755"/>
        <v>148313.40561000002</v>
      </c>
      <c r="FP353" s="103">
        <f>129025.8441+19287.56151</f>
        <v>148313.40561000002</v>
      </c>
      <c r="FQ353" s="103"/>
      <c r="FR353" s="103"/>
      <c r="FS353" s="103">
        <f>FU353</f>
        <v>31125.079519999999</v>
      </c>
      <c r="FT353" s="577">
        <f t="shared" si="640"/>
        <v>0.20986019026388941</v>
      </c>
      <c r="FU353" s="103">
        <v>31125.079519999999</v>
      </c>
      <c r="FV353" s="577">
        <f t="shared" si="641"/>
        <v>0.20986019026388941</v>
      </c>
      <c r="FW353" s="103"/>
      <c r="FX353" s="577">
        <v>0</v>
      </c>
      <c r="FY353" s="105"/>
      <c r="FZ353" s="672"/>
      <c r="GA353" s="103">
        <f>GC353</f>
        <v>22830.567520000001</v>
      </c>
      <c r="GB353" s="577">
        <f t="shared" si="756"/>
        <v>0.15393461856060742</v>
      </c>
      <c r="GC353" s="103">
        <v>22830.567520000001</v>
      </c>
      <c r="GD353" s="577">
        <f t="shared" si="758"/>
        <v>0.15393461856060742</v>
      </c>
      <c r="GE353" s="105"/>
      <c r="GF353" s="577"/>
      <c r="GG353" s="103"/>
      <c r="GH353" s="577"/>
      <c r="GI353" s="103">
        <f>GK353</f>
        <v>148304.16138000001</v>
      </c>
      <c r="GJ353" s="577">
        <f t="shared" si="658"/>
        <v>0.9999376709747716</v>
      </c>
      <c r="GK353" s="103">
        <v>148304.16138000001</v>
      </c>
      <c r="GL353" s="577">
        <f t="shared" si="659"/>
        <v>0.9999376709747716</v>
      </c>
      <c r="GM353" s="103"/>
      <c r="GN353" s="577"/>
      <c r="GO353" s="103"/>
      <c r="GP353" s="577"/>
      <c r="GQ353" s="105"/>
      <c r="GR353" s="105"/>
      <c r="GS353" s="105"/>
      <c r="GT353" s="105"/>
      <c r="GU353" s="105">
        <f t="shared" si="757"/>
        <v>130000</v>
      </c>
      <c r="GV353" s="105">
        <v>130000</v>
      </c>
      <c r="GW353" s="105"/>
      <c r="GX353" s="105"/>
      <c r="GY353" s="105"/>
      <c r="GZ353" s="105"/>
      <c r="HA353" s="105"/>
      <c r="HB353" s="105"/>
      <c r="HC353" s="105"/>
      <c r="HD353" s="105"/>
      <c r="HE353" s="105"/>
      <c r="HF353" s="105"/>
      <c r="HG353" s="105">
        <f>HH353</f>
        <v>0</v>
      </c>
      <c r="HH353" s="105">
        <f>HP353-GV353</f>
        <v>0</v>
      </c>
      <c r="HI353" s="105"/>
      <c r="HJ353" s="105"/>
      <c r="HK353" s="105">
        <f>HL353</f>
        <v>0</v>
      </c>
      <c r="HL353" s="105">
        <f>IF353-GZ353</f>
        <v>0</v>
      </c>
      <c r="HM353" s="105"/>
      <c r="HN353" s="105"/>
      <c r="HO353" s="105">
        <f>HP353</f>
        <v>130000</v>
      </c>
      <c r="HP353" s="105">
        <v>130000</v>
      </c>
      <c r="HQ353" s="105"/>
      <c r="HR353" s="105"/>
      <c r="HS353" s="105">
        <f>HT353</f>
        <v>295032.8</v>
      </c>
      <c r="HT353" s="105">
        <v>295032.8</v>
      </c>
      <c r="HU353" s="105"/>
      <c r="HV353" s="105"/>
      <c r="HW353" s="105">
        <f>HX353</f>
        <v>0</v>
      </c>
      <c r="HX353" s="105">
        <f>IR353-HL353</f>
        <v>0</v>
      </c>
      <c r="HY353" s="105"/>
      <c r="HZ353" s="105"/>
      <c r="IA353" s="105">
        <f>IB353</f>
        <v>295032.8</v>
      </c>
      <c r="IB353" s="105">
        <f>HT353</f>
        <v>295032.8</v>
      </c>
      <c r="IC353" s="105"/>
      <c r="ID353" s="105"/>
      <c r="IE353" s="319"/>
      <c r="IF353" s="157"/>
      <c r="IG353" s="157"/>
      <c r="IH353" s="157"/>
    </row>
    <row r="354" spans="1:249" s="232" customFormat="1" ht="42.75" customHeight="1" x14ac:dyDescent="0.3">
      <c r="B354" s="565"/>
      <c r="C354" s="781" t="s">
        <v>419</v>
      </c>
      <c r="D354" s="781"/>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154"/>
      <c r="AL354" s="154"/>
      <c r="AM354" s="107"/>
      <c r="AN354" s="107"/>
      <c r="AO354" s="154"/>
      <c r="AP354" s="566"/>
      <c r="AQ354" s="566"/>
      <c r="AR354" s="154"/>
      <c r="AS354" s="566"/>
      <c r="AT354" s="566"/>
      <c r="AU354" s="566"/>
      <c r="AV354" s="566"/>
      <c r="AW354" s="566"/>
      <c r="AX354" s="566"/>
      <c r="AY354" s="566"/>
      <c r="AZ354" s="566"/>
      <c r="BA354" s="566"/>
      <c r="BB354" s="566"/>
      <c r="BC354" s="566"/>
      <c r="BD354" s="566"/>
      <c r="BE354" s="566"/>
      <c r="BF354" s="566"/>
      <c r="BG354" s="566"/>
      <c r="BH354" s="566"/>
      <c r="BI354" s="566"/>
      <c r="BJ354" s="566"/>
      <c r="BK354" s="154"/>
      <c r="BL354" s="154"/>
      <c r="BM354" s="154"/>
      <c r="BN354" s="154"/>
      <c r="BO354" s="154"/>
      <c r="BP354" s="154"/>
      <c r="BQ354" s="154"/>
      <c r="BR354" s="154"/>
      <c r="BS354" s="154"/>
      <c r="BT354" s="154"/>
      <c r="BU354" s="154"/>
      <c r="BV354" s="566"/>
      <c r="BW354" s="566"/>
      <c r="BX354" s="566"/>
      <c r="BY354" s="566"/>
      <c r="BZ354" s="566"/>
      <c r="CA354" s="566"/>
      <c r="CB354" s="566"/>
      <c r="CC354" s="566"/>
      <c r="CD354" s="566"/>
      <c r="CE354" s="154"/>
      <c r="CF354" s="154"/>
      <c r="CG354" s="566"/>
      <c r="CH354" s="566"/>
      <c r="CI354" s="566"/>
      <c r="CJ354" s="566"/>
      <c r="CK354" s="566"/>
      <c r="CL354" s="566"/>
      <c r="CM354" s="566"/>
      <c r="CN354" s="566"/>
      <c r="CO354" s="566"/>
      <c r="CP354" s="566"/>
      <c r="CQ354" s="566"/>
      <c r="CR354" s="566"/>
      <c r="CS354" s="566"/>
      <c r="CT354" s="566"/>
      <c r="CU354" s="566"/>
      <c r="CV354" s="566"/>
      <c r="CW354" s="566" t="e">
        <f t="shared" ref="CW354:DG354" si="759">CW290+CW346+CW348</f>
        <v>#REF!</v>
      </c>
      <c r="CX354" s="566" t="e">
        <f t="shared" si="759"/>
        <v>#REF!</v>
      </c>
      <c r="CY354" s="566" t="e">
        <f t="shared" si="759"/>
        <v>#REF!</v>
      </c>
      <c r="CZ354" s="566" t="e">
        <f t="shared" si="759"/>
        <v>#REF!</v>
      </c>
      <c r="DA354" s="566" t="e">
        <f t="shared" si="759"/>
        <v>#REF!</v>
      </c>
      <c r="DB354" s="566" t="e">
        <f t="shared" si="759"/>
        <v>#REF!</v>
      </c>
      <c r="DC354" s="566">
        <f t="shared" si="759"/>
        <v>15541.021500000001</v>
      </c>
      <c r="DD354" s="566">
        <f t="shared" si="759"/>
        <v>15541.021500000001</v>
      </c>
      <c r="DE354" s="566">
        <f t="shared" si="759"/>
        <v>0</v>
      </c>
      <c r="DF354" s="566" t="e">
        <f t="shared" si="759"/>
        <v>#REF!</v>
      </c>
      <c r="DG354" s="566" t="e">
        <f t="shared" si="759"/>
        <v>#REF!</v>
      </c>
      <c r="DH354" s="566" t="e">
        <f>DH290+DH332+DH346+DH348</f>
        <v>#REF!</v>
      </c>
      <c r="DI354" s="566" t="e">
        <f>DI290+DI346+DI348</f>
        <v>#REF!</v>
      </c>
      <c r="DJ354" s="566" t="e">
        <f>DJ290+DJ346+DJ348</f>
        <v>#REF!</v>
      </c>
      <c r="DK354" s="566" t="e">
        <f t="shared" ref="DK354:DT354" si="760">DK290+DK332+DK346+DK348</f>
        <v>#REF!</v>
      </c>
      <c r="DL354" s="566" t="e">
        <f t="shared" si="760"/>
        <v>#REF!</v>
      </c>
      <c r="DM354" s="566" t="e">
        <f t="shared" si="760"/>
        <v>#REF!</v>
      </c>
      <c r="DN354" s="566" t="e">
        <f t="shared" si="760"/>
        <v>#REF!</v>
      </c>
      <c r="DO354" s="566" t="e">
        <f t="shared" si="760"/>
        <v>#REF!</v>
      </c>
      <c r="DP354" s="566" t="e">
        <f t="shared" si="760"/>
        <v>#REF!</v>
      </c>
      <c r="DQ354" s="566" t="e">
        <f t="shared" si="760"/>
        <v>#REF!</v>
      </c>
      <c r="DR354" s="566" t="e">
        <f t="shared" si="760"/>
        <v>#REF!</v>
      </c>
      <c r="DS354" s="566" t="e">
        <f t="shared" si="760"/>
        <v>#REF!</v>
      </c>
      <c r="DT354" s="566" t="e">
        <f t="shared" si="760"/>
        <v>#REF!</v>
      </c>
      <c r="DU354" s="566" t="e">
        <f>DU290+DU346+DU348</f>
        <v>#REF!</v>
      </c>
      <c r="DV354" s="566" t="e">
        <f>DV290+DV346+DV348</f>
        <v>#REF!</v>
      </c>
      <c r="DW354" s="566" t="e">
        <f t="shared" ref="DW354:EC354" si="761">DW290+DW332+DW346+DW348</f>
        <v>#REF!</v>
      </c>
      <c r="DX354" s="566" t="e">
        <f t="shared" si="761"/>
        <v>#REF!</v>
      </c>
      <c r="DY354" s="566" t="e">
        <f t="shared" si="761"/>
        <v>#REF!</v>
      </c>
      <c r="DZ354" s="566" t="e">
        <f t="shared" si="761"/>
        <v>#REF!</v>
      </c>
      <c r="EA354" s="566">
        <f t="shared" si="761"/>
        <v>0</v>
      </c>
      <c r="EB354" s="566">
        <f t="shared" si="761"/>
        <v>0</v>
      </c>
      <c r="EC354" s="566">
        <f t="shared" si="761"/>
        <v>0</v>
      </c>
      <c r="ED354" s="566" t="e">
        <f>ED290+ED346+ED348</f>
        <v>#REF!</v>
      </c>
      <c r="EE354" s="566" t="e">
        <f>EE290+EE346+EE348</f>
        <v>#REF!</v>
      </c>
      <c r="EF354" s="566" t="e">
        <f>EF290+EF332+EF346+EF348</f>
        <v>#REF!</v>
      </c>
      <c r="EG354" s="566" t="e">
        <f>EH354+EI354+EJ354+EG352</f>
        <v>#REF!</v>
      </c>
      <c r="EH354" s="566" t="e">
        <f t="shared" ref="EH354:EN354" si="762">EH290+EH346+EH348+EH352</f>
        <v>#REF!</v>
      </c>
      <c r="EI354" s="566">
        <f t="shared" si="762"/>
        <v>604948.12371999992</v>
      </c>
      <c r="EJ354" s="566" t="e">
        <f t="shared" si="762"/>
        <v>#REF!</v>
      </c>
      <c r="EK354" s="566" t="e">
        <f t="shared" si="762"/>
        <v>#REF!</v>
      </c>
      <c r="EL354" s="566" t="e">
        <f t="shared" si="762"/>
        <v>#REF!</v>
      </c>
      <c r="EM354" s="566">
        <f t="shared" si="762"/>
        <v>-805860.89331999992</v>
      </c>
      <c r="EN354" s="566">
        <f t="shared" si="762"/>
        <v>0</v>
      </c>
      <c r="EO354" s="566" t="e">
        <f>EO290</f>
        <v>#REF!</v>
      </c>
      <c r="EP354" s="566" t="e">
        <f>EP290</f>
        <v>#REF!</v>
      </c>
      <c r="EQ354" s="566">
        <f>EQ290</f>
        <v>0</v>
      </c>
      <c r="ER354" s="566">
        <f>ER290</f>
        <v>0</v>
      </c>
      <c r="ES354" s="566" t="e">
        <f>ES290+ES346+ES348+ES352</f>
        <v>#REF!</v>
      </c>
      <c r="ET354" s="566" t="e">
        <f>ET290+ET346+ET348+ET352</f>
        <v>#REF!</v>
      </c>
      <c r="EU354" s="566">
        <f>EU290+EU346+EU348+EU352</f>
        <v>-200912.7696</v>
      </c>
      <c r="EV354" s="566" t="e">
        <f>EV290+EV346+EV348+EV352</f>
        <v>#REF!</v>
      </c>
      <c r="EW354" s="566" t="e">
        <f>EW290+EW346+EW348</f>
        <v>#REF!</v>
      </c>
      <c r="EX354" s="566" t="e">
        <f>EX290+EX346+EX348</f>
        <v>#REF!</v>
      </c>
      <c r="EY354" s="566" t="e">
        <f>EY290+EY332+EY346+EY348</f>
        <v>#REF!</v>
      </c>
      <c r="EZ354" s="566" t="e">
        <f>EZ290+EZ346+EZ348</f>
        <v>#REF!</v>
      </c>
      <c r="FA354" s="566" t="e">
        <f>FA290+FA346+FA348</f>
        <v>#REF!</v>
      </c>
      <c r="FB354" s="566">
        <f>FB290+FB332+FB346+FB348</f>
        <v>0</v>
      </c>
      <c r="FC354" s="152">
        <f>FD354+FE354+FF354</f>
        <v>2366997.46514</v>
      </c>
      <c r="FD354" s="152">
        <f>FD290+FD346+FD348+FD352</f>
        <v>1963505.7262200001</v>
      </c>
      <c r="FE354" s="152">
        <f>FE290+FE346+FE348+FE352</f>
        <v>403491.73891999997</v>
      </c>
      <c r="FF354" s="152">
        <f>FF290+FF346+FF348+FF352</f>
        <v>0</v>
      </c>
      <c r="FG354" s="152">
        <f>FH354+FI354+FJ354+FG352</f>
        <v>203242.70342999999</v>
      </c>
      <c r="FH354" s="152">
        <f>FH290+FH346+FH348+FH352</f>
        <v>202699.08822999999</v>
      </c>
      <c r="FI354" s="152">
        <f>FI290+FI346+FI348+FI352</f>
        <v>543.61520000000019</v>
      </c>
      <c r="FJ354" s="152">
        <f>FJ290+FJ346+FJ348+FJ352</f>
        <v>0</v>
      </c>
      <c r="FK354" s="152">
        <f>FK290</f>
        <v>0</v>
      </c>
      <c r="FL354" s="152">
        <f>FL290</f>
        <v>0</v>
      </c>
      <c r="FM354" s="152">
        <f>FM290</f>
        <v>0</v>
      </c>
      <c r="FN354" s="152">
        <f>FN290</f>
        <v>0</v>
      </c>
      <c r="FO354" s="152">
        <f>FP354+FQ354+FR354+FO352</f>
        <v>2094869.68634</v>
      </c>
      <c r="FP354" s="152">
        <f>FP290+FP346+FP348+FP352</f>
        <v>1542520.92661</v>
      </c>
      <c r="FQ354" s="152">
        <f>FQ290+FQ346+FQ348+FQ352</f>
        <v>404035.35411999997</v>
      </c>
      <c r="FR354" s="152">
        <f>FR290+FR346+FR348+FR352</f>
        <v>0</v>
      </c>
      <c r="FS354" s="152">
        <f>FU354+FW354+FY354</f>
        <v>988550.51426999993</v>
      </c>
      <c r="FT354" s="574">
        <f t="shared" ref="FT354:FT359" si="763">FS354/FC354</f>
        <v>0.41763902531747343</v>
      </c>
      <c r="FU354" s="152">
        <f>FU290+FU346+FU348+FU352</f>
        <v>732558.95169000002</v>
      </c>
      <c r="FV354" s="574">
        <f t="shared" ref="FV354:FV357" si="764">FU354/FD354</f>
        <v>0.37308724996706266</v>
      </c>
      <c r="FW354" s="152">
        <f>FW290+FW346+FW348+FW352</f>
        <v>255991.56257999997</v>
      </c>
      <c r="FX354" s="574">
        <f t="shared" si="746"/>
        <v>0.6344406536431102</v>
      </c>
      <c r="FY354" s="658">
        <f>FY290+FY346+FY348+FY352</f>
        <v>0</v>
      </c>
      <c r="FZ354" s="669"/>
      <c r="GA354" s="152">
        <f>GC354+GE354+GG354</f>
        <v>935768.26264000009</v>
      </c>
      <c r="GB354" s="574">
        <f t="shared" si="756"/>
        <v>0.39533978232826394</v>
      </c>
      <c r="GC354" s="152">
        <f>GC290+GC346+GC348+GC352</f>
        <v>722411.51173000003</v>
      </c>
      <c r="GD354" s="574">
        <f t="shared" si="758"/>
        <v>0.36791922838989355</v>
      </c>
      <c r="GE354" s="659">
        <f>GE290+GE346+GE348+GE352</f>
        <v>213356.75091</v>
      </c>
      <c r="GF354" s="574">
        <f>GE354/FE354</f>
        <v>0.52877600785849566</v>
      </c>
      <c r="GG354" s="659">
        <f>GG290+GG346+GG348+GG352</f>
        <v>0</v>
      </c>
      <c r="GH354" s="574">
        <v>0</v>
      </c>
      <c r="GI354" s="152">
        <f>GK354+GM354+GO354</f>
        <v>1786800.1543799997</v>
      </c>
      <c r="GJ354" s="574">
        <f t="shared" si="658"/>
        <v>0.75488046805927456</v>
      </c>
      <c r="GK354" s="152">
        <f>GK290+GK346+GK348+GK352</f>
        <v>1511824.8685499998</v>
      </c>
      <c r="GL354" s="574">
        <f t="shared" si="659"/>
        <v>0.76996203696357746</v>
      </c>
      <c r="GM354" s="152">
        <f>GM290+GM346+GM348+GM352</f>
        <v>274975.28583000001</v>
      </c>
      <c r="GN354" s="574">
        <f t="shared" si="748"/>
        <v>0.68148925815930805</v>
      </c>
      <c r="GO354" s="152">
        <f>GO290+GO346+GO348+GO352</f>
        <v>0</v>
      </c>
      <c r="GP354" s="574">
        <v>0</v>
      </c>
      <c r="GQ354" s="566"/>
      <c r="GR354" s="566"/>
      <c r="GS354" s="566"/>
      <c r="GT354" s="566"/>
      <c r="GU354" s="566" t="e">
        <f>GV354+GW354+GX354</f>
        <v>#REF!</v>
      </c>
      <c r="GV354" s="566" t="e">
        <f>GV290+GV346+GV348+GV352</f>
        <v>#REF!</v>
      </c>
      <c r="GW354" s="566">
        <f>GW290+GW346+GW348+GW352</f>
        <v>644653.12083999999</v>
      </c>
      <c r="GX354" s="566" t="e">
        <f>GX290+GX346+GX348+GX352</f>
        <v>#REF!</v>
      </c>
      <c r="GY354" s="566"/>
      <c r="GZ354" s="566"/>
      <c r="HA354" s="566"/>
      <c r="HB354" s="566"/>
      <c r="HC354" s="566"/>
      <c r="HD354" s="566"/>
      <c r="HE354" s="566"/>
      <c r="HF354" s="566"/>
      <c r="HG354" s="566" t="e">
        <f>HG290+HG346+HG348+HG352</f>
        <v>#REF!</v>
      </c>
      <c r="HH354" s="566" t="e">
        <f>HH290+HH346+HH348+HH352</f>
        <v>#REF!</v>
      </c>
      <c r="HI354" s="566">
        <f>HI290+HI346+HI348+HI352</f>
        <v>0</v>
      </c>
      <c r="HJ354" s="566" t="e">
        <f>HJ290+HJ346+HJ348+HJ352</f>
        <v>#REF!</v>
      </c>
      <c r="HK354" s="566" t="e">
        <f>HK290+HK346+HK348</f>
        <v>#REF!</v>
      </c>
      <c r="HL354" s="566" t="e">
        <f>HL290+HL346+HL348</f>
        <v>#REF!</v>
      </c>
      <c r="HM354" s="566">
        <f>HM290+HM346+HM348</f>
        <v>0</v>
      </c>
      <c r="HN354" s="566" t="e">
        <f>HN290+HN346+HN348</f>
        <v>#REF!</v>
      </c>
      <c r="HO354" s="566" t="e">
        <f>HO290+HO346+HO348+HO352</f>
        <v>#REF!</v>
      </c>
      <c r="HP354" s="152" t="e">
        <f>HP290+HP346+HP348+HP352</f>
        <v>#REF!</v>
      </c>
      <c r="HQ354" s="566">
        <f>HQ290+HQ346+HQ348+HQ352</f>
        <v>644653.12083999999</v>
      </c>
      <c r="HR354" s="566">
        <f>HR290+HR346+HR348+HR352</f>
        <v>0</v>
      </c>
      <c r="HS354" s="566" t="e">
        <f>HT354+HU354+HV354</f>
        <v>#REF!</v>
      </c>
      <c r="HT354" s="566" t="e">
        <f>HT290+HT346+HT348+HT352</f>
        <v>#REF!</v>
      </c>
      <c r="HU354" s="566">
        <f>HU290+HU346+HU348+HU352</f>
        <v>840407.73387999996</v>
      </c>
      <c r="HV354" s="566" t="e">
        <f>HV290+HV346+HV348+HV352</f>
        <v>#REF!</v>
      </c>
      <c r="HW354" s="566" t="e">
        <f>HW290+HW346+HW348</f>
        <v>#REF!</v>
      </c>
      <c r="HX354" s="566" t="e">
        <f>HX290+HX346+HX348</f>
        <v>#REF!</v>
      </c>
      <c r="HY354" s="566">
        <f>HY290+HY346+HY348</f>
        <v>0</v>
      </c>
      <c r="HZ354" s="566" t="e">
        <f>HZ290+HZ346+HZ348</f>
        <v>#REF!</v>
      </c>
      <c r="IA354" s="566" t="e">
        <f>IB354+IC354+ID354</f>
        <v>#REF!</v>
      </c>
      <c r="IB354" s="566" t="e">
        <f>IB290+IB346+IB348+IB352</f>
        <v>#REF!</v>
      </c>
      <c r="IC354" s="566">
        <f>IC290+IC346+IC348+IC352</f>
        <v>840407.73387999996</v>
      </c>
      <c r="ID354" s="566" t="e">
        <f>ID290+ID346+ID348+ID352</f>
        <v>#REF!</v>
      </c>
      <c r="IE354" s="592"/>
      <c r="IF354" s="204"/>
      <c r="IG354" s="204"/>
      <c r="IH354" s="204"/>
    </row>
    <row r="355" spans="1:249" s="240" customFormat="1" ht="54.75" customHeight="1" x14ac:dyDescent="0.25">
      <c r="B355" s="764" t="s">
        <v>420</v>
      </c>
      <c r="C355" s="765"/>
      <c r="D355" s="593"/>
      <c r="E355" s="192" t="e">
        <f>E207+E285+#REF!</f>
        <v>#REF!</v>
      </c>
      <c r="F355" s="192" t="e">
        <f>F207+F285+#REF!</f>
        <v>#REF!</v>
      </c>
      <c r="G355" s="192" t="e">
        <f>G207+G285+#REF!</f>
        <v>#REF!</v>
      </c>
      <c r="H355" s="192" t="e">
        <f>H207+H285+#REF!</f>
        <v>#REF!</v>
      </c>
      <c r="I355" s="192" t="e">
        <f>I207+I285+#REF!</f>
        <v>#REF!</v>
      </c>
      <c r="J355" s="192" t="e">
        <f>J207+J285+#REF!</f>
        <v>#REF!</v>
      </c>
      <c r="K355" s="192" t="e">
        <f>K207+K285+#REF!</f>
        <v>#REF!</v>
      </c>
      <c r="L355" s="192" t="e">
        <f>L207+L285+#REF!</f>
        <v>#REF!</v>
      </c>
      <c r="M355" s="192" t="e">
        <f>M207+M285+#REF!</f>
        <v>#REF!</v>
      </c>
      <c r="N355" s="192" t="e">
        <f>N207+N285+#REF!</f>
        <v>#REF!</v>
      </c>
      <c r="O355" s="192" t="e">
        <f>O207+O285+#REF!</f>
        <v>#REF!</v>
      </c>
      <c r="P355" s="192" t="e">
        <f>P207+P285+#REF!</f>
        <v>#REF!</v>
      </c>
      <c r="Q355" s="192" t="e">
        <f>Q207+Q285+#REF!</f>
        <v>#REF!</v>
      </c>
      <c r="R355" s="192" t="e">
        <f>R207+R285+#REF!</f>
        <v>#REF!</v>
      </c>
      <c r="S355" s="192" t="e">
        <f>S207+S285+#REF!</f>
        <v>#REF!</v>
      </c>
      <c r="T355" s="192" t="e">
        <f>T207+T285+#REF!</f>
        <v>#REF!</v>
      </c>
      <c r="U355" s="192" t="e">
        <f>U207+U285+#REF!</f>
        <v>#REF!</v>
      </c>
      <c r="V355" s="192" t="e">
        <f>V207+V285+#REF!</f>
        <v>#REF!</v>
      </c>
      <c r="W355" s="192" t="e">
        <f>W207+W285+#REF!</f>
        <v>#REF!</v>
      </c>
      <c r="X355" s="192" t="e">
        <f>X207+X285+#REF!</f>
        <v>#REF!</v>
      </c>
      <c r="Y355" s="192" t="e">
        <f>Y207+Y285+#REF!</f>
        <v>#REF!</v>
      </c>
      <c r="Z355" s="192" t="e">
        <f>Z207+Z285+#REF!</f>
        <v>#REF!</v>
      </c>
      <c r="AA355" s="192" t="e">
        <f>AA207+AA285+#REF!</f>
        <v>#REF!</v>
      </c>
      <c r="AB355" s="192" t="e">
        <f>AB207+AB285+#REF!</f>
        <v>#REF!</v>
      </c>
      <c r="AC355" s="192" t="e">
        <f>AC207+AC285+#REF!</f>
        <v>#REF!</v>
      </c>
      <c r="AD355" s="192" t="e">
        <f>AD207+AD285+#REF!</f>
        <v>#REF!</v>
      </c>
      <c r="AE355" s="192" t="e">
        <f>AE207+AE285+#REF!</f>
        <v>#REF!</v>
      </c>
      <c r="AF355" s="192" t="e">
        <f>AF207+AF285+#REF!</f>
        <v>#REF!</v>
      </c>
      <c r="AG355" s="192" t="e">
        <f>AG207+AG285+#REF!</f>
        <v>#REF!</v>
      </c>
      <c r="AH355" s="192" t="e">
        <f>AH207+AH285+#REF!</f>
        <v>#REF!</v>
      </c>
      <c r="AI355" s="192" t="e">
        <f>AI207+AI285+#REF!</f>
        <v>#REF!</v>
      </c>
      <c r="AJ355" s="192" t="e">
        <f>AJ207+AJ285+#REF!</f>
        <v>#REF!</v>
      </c>
      <c r="AK355" s="192" t="e">
        <f>AK207+AK285+#REF!</f>
        <v>#REF!</v>
      </c>
      <c r="AL355" s="192" t="e">
        <f>AL207+AL285+#REF!</f>
        <v>#REF!</v>
      </c>
      <c r="AM355" s="192" t="e">
        <f>AM207+AM285+#REF!</f>
        <v>#REF!</v>
      </c>
      <c r="AN355" s="192" t="e">
        <f>AN207+AN285+#REF!</f>
        <v>#REF!</v>
      </c>
      <c r="AO355" s="192">
        <v>1</v>
      </c>
      <c r="AP355" s="192" t="e">
        <f>AP207+AP285+#REF!</f>
        <v>#REF!</v>
      </c>
      <c r="AQ355" s="192" t="e">
        <f>AQ207+AQ285+#REF!</f>
        <v>#REF!</v>
      </c>
      <c r="AR355" s="192" t="e">
        <f>AR207+AR285+#REF!</f>
        <v>#REF!</v>
      </c>
      <c r="AS355" s="192" t="e">
        <f>AS207+AS285+#REF!</f>
        <v>#REF!</v>
      </c>
      <c r="AT355" s="192" t="e">
        <f>AT207+AT285+#REF!</f>
        <v>#REF!</v>
      </c>
      <c r="AU355" s="192" t="e">
        <f>AU207+AU285+#REF!</f>
        <v>#REF!</v>
      </c>
      <c r="AV355" s="192" t="e">
        <f>AV207+AV285+#REF!</f>
        <v>#REF!</v>
      </c>
      <c r="AW355" s="192" t="e">
        <f>AW207+AW285+#REF!</f>
        <v>#REF!</v>
      </c>
      <c r="AX355" s="192" t="e">
        <f>AX207+AX285+#REF!</f>
        <v>#REF!</v>
      </c>
      <c r="AY355" s="192" t="e">
        <f>AY207+AY285+#REF!</f>
        <v>#REF!</v>
      </c>
      <c r="AZ355" s="192" t="e">
        <f>AZ207+AZ285+#REF!</f>
        <v>#REF!</v>
      </c>
      <c r="BA355" s="192" t="e">
        <f>BA207+BA285+#REF!</f>
        <v>#REF!</v>
      </c>
      <c r="BB355" s="192" t="e">
        <f>BB207+BB285+#REF!</f>
        <v>#REF!</v>
      </c>
      <c r="BC355" s="192" t="e">
        <f>BC207+BC285+#REF!</f>
        <v>#REF!</v>
      </c>
      <c r="BD355" s="192" t="e">
        <f>BD207+BD285+#REF!</f>
        <v>#REF!</v>
      </c>
      <c r="BE355" s="192" t="e">
        <f>BE207+BE285+#REF!</f>
        <v>#REF!</v>
      </c>
      <c r="BF355" s="192" t="e">
        <f>BF207+BF285+#REF!</f>
        <v>#REF!</v>
      </c>
      <c r="BG355" s="192" t="e">
        <f>BG207+BG285+#REF!</f>
        <v>#REF!</v>
      </c>
      <c r="BH355" s="192" t="e">
        <f>BH207+BH285+#REF!</f>
        <v>#REF!</v>
      </c>
      <c r="BI355" s="192" t="e">
        <f>BI207+BI285+#REF!</f>
        <v>#REF!</v>
      </c>
      <c r="BJ355" s="192" t="e">
        <f>BJ207+BJ285+#REF!</f>
        <v>#REF!</v>
      </c>
      <c r="BK355" s="192">
        <v>1</v>
      </c>
      <c r="BL355" s="192" t="e">
        <f>BL207+BL285+#REF!</f>
        <v>#REF!</v>
      </c>
      <c r="BM355" s="192" t="e">
        <f>BM207+BM285+#REF!</f>
        <v>#REF!</v>
      </c>
      <c r="BN355" s="192" t="e">
        <f>BN207+BN285+#REF!</f>
        <v>#REF!</v>
      </c>
      <c r="BO355" s="192" t="e">
        <f>BO207+BO285+#REF!</f>
        <v>#REF!</v>
      </c>
      <c r="BP355" s="192" t="e">
        <f>BP207+BP285+#REF!</f>
        <v>#REF!</v>
      </c>
      <c r="BQ355" s="192" t="e">
        <f>BQ207+BQ285+#REF!</f>
        <v>#REF!</v>
      </c>
      <c r="BR355" s="192" t="e">
        <f>BR207+BR285+#REF!</f>
        <v>#REF!</v>
      </c>
      <c r="BS355" s="192" t="e">
        <f>BS207+BS285+#REF!</f>
        <v>#REF!</v>
      </c>
      <c r="BT355" s="192" t="e">
        <f>BT207+BT285+#REF!</f>
        <v>#REF!</v>
      </c>
      <c r="BU355" s="192" t="e">
        <f>BU207+BU285+#REF!</f>
        <v>#REF!</v>
      </c>
      <c r="BV355" s="192" t="e">
        <f>BV207+BV285+#REF!</f>
        <v>#REF!</v>
      </c>
      <c r="BW355" s="192" t="e">
        <f>BW207+BW285+#REF!</f>
        <v>#REF!</v>
      </c>
      <c r="BX355" s="192" t="e">
        <f>BX207+BX285+#REF!</f>
        <v>#REF!</v>
      </c>
      <c r="BY355" s="192" t="e">
        <f>BY207+BY285+#REF!</f>
        <v>#REF!</v>
      </c>
      <c r="BZ355" s="192" t="e">
        <f>BZ207+BZ285+#REF!</f>
        <v>#REF!</v>
      </c>
      <c r="CA355" s="192" t="e">
        <f>CA207+CA285+#REF!</f>
        <v>#REF!</v>
      </c>
      <c r="CB355" s="192" t="e">
        <f>CB207+CB285+#REF!</f>
        <v>#REF!</v>
      </c>
      <c r="CC355" s="192" t="e">
        <f>CC207+CC285+#REF!</f>
        <v>#REF!</v>
      </c>
      <c r="CD355" s="192" t="e">
        <f>CD207+CD285+#REF!</f>
        <v>#REF!</v>
      </c>
      <c r="CE355" s="192">
        <v>1</v>
      </c>
      <c r="CF355" s="192" t="e">
        <f>CF207+CF285+#REF!</f>
        <v>#REF!</v>
      </c>
      <c r="CG355" s="192"/>
      <c r="CH355" s="192" t="e">
        <f>CH207+CH285+#REF!</f>
        <v>#REF!</v>
      </c>
      <c r="CI355" s="192" t="e">
        <f>CI207+CI285+#REF!</f>
        <v>#REF!</v>
      </c>
      <c r="CJ355" s="192" t="e">
        <f>CJ207+CJ285+#REF!</f>
        <v>#REF!</v>
      </c>
      <c r="CK355" s="192" t="e">
        <f>CK207+CK285+#REF!</f>
        <v>#REF!</v>
      </c>
      <c r="CL355" s="192" t="e">
        <f>CL207+CL285+#REF!</f>
        <v>#REF!</v>
      </c>
      <c r="CM355" s="192" t="e">
        <f>CM207+CM285+#REF!</f>
        <v>#REF!</v>
      </c>
      <c r="CN355" s="192"/>
      <c r="CO355" s="192"/>
      <c r="CP355" s="192"/>
      <c r="CQ355" s="192" t="e">
        <f>CQ207+CQ285+#REF!</f>
        <v>#REF!</v>
      </c>
      <c r="CR355" s="192" t="e">
        <f>CR207+CR285+#REF!</f>
        <v>#REF!</v>
      </c>
      <c r="CS355" s="192" t="e">
        <f>CS207+CS285+#REF!</f>
        <v>#REF!</v>
      </c>
      <c r="CT355" s="192" t="e">
        <f>CT207+CT285+#REF!</f>
        <v>#REF!</v>
      </c>
      <c r="CU355" s="192" t="e">
        <f>CU207+CU285+#REF!</f>
        <v>#REF!</v>
      </c>
      <c r="CV355" s="192" t="e">
        <f>CV207+CV285+#REF!</f>
        <v>#REF!</v>
      </c>
      <c r="CW355" s="566" t="e">
        <f t="shared" ref="CW355:EF355" si="765">CW207+CW285+CW354</f>
        <v>#REF!</v>
      </c>
      <c r="CX355" s="566" t="e">
        <f t="shared" si="765"/>
        <v>#REF!</v>
      </c>
      <c r="CY355" s="566" t="e">
        <f t="shared" si="765"/>
        <v>#REF!</v>
      </c>
      <c r="CZ355" s="566" t="e">
        <f t="shared" si="765"/>
        <v>#REF!</v>
      </c>
      <c r="DA355" s="566" t="e">
        <f t="shared" si="765"/>
        <v>#REF!</v>
      </c>
      <c r="DB355" s="566" t="e">
        <f t="shared" si="765"/>
        <v>#REF!</v>
      </c>
      <c r="DC355" s="566">
        <f t="shared" si="765"/>
        <v>728505.35064000008</v>
      </c>
      <c r="DD355" s="566">
        <f t="shared" si="765"/>
        <v>348155.35063999996</v>
      </c>
      <c r="DE355" s="566">
        <f t="shared" si="765"/>
        <v>380350</v>
      </c>
      <c r="DF355" s="566" t="e">
        <f t="shared" si="765"/>
        <v>#REF!</v>
      </c>
      <c r="DG355" s="566" t="e">
        <f t="shared" si="765"/>
        <v>#REF!</v>
      </c>
      <c r="DH355" s="566" t="e">
        <f t="shared" si="765"/>
        <v>#REF!</v>
      </c>
      <c r="DI355" s="566" t="e">
        <f t="shared" si="765"/>
        <v>#REF!</v>
      </c>
      <c r="DJ355" s="566" t="e">
        <f t="shared" si="765"/>
        <v>#REF!</v>
      </c>
      <c r="DK355" s="566" t="e">
        <f t="shared" si="765"/>
        <v>#REF!</v>
      </c>
      <c r="DL355" s="566" t="e">
        <f t="shared" si="765"/>
        <v>#REF!</v>
      </c>
      <c r="DM355" s="566" t="e">
        <f t="shared" si="765"/>
        <v>#REF!</v>
      </c>
      <c r="DN355" s="566" t="e">
        <f t="shared" si="765"/>
        <v>#REF!</v>
      </c>
      <c r="DO355" s="566" t="e">
        <f t="shared" si="765"/>
        <v>#REF!</v>
      </c>
      <c r="DP355" s="566" t="e">
        <f t="shared" si="765"/>
        <v>#REF!</v>
      </c>
      <c r="DQ355" s="566" t="e">
        <f t="shared" si="765"/>
        <v>#REF!</v>
      </c>
      <c r="DR355" s="566" t="e">
        <f t="shared" si="765"/>
        <v>#REF!</v>
      </c>
      <c r="DS355" s="566" t="e">
        <f t="shared" si="765"/>
        <v>#REF!</v>
      </c>
      <c r="DT355" s="566" t="e">
        <f t="shared" si="765"/>
        <v>#REF!</v>
      </c>
      <c r="DU355" s="566" t="e">
        <f t="shared" si="765"/>
        <v>#REF!</v>
      </c>
      <c r="DV355" s="566" t="e">
        <f t="shared" si="765"/>
        <v>#REF!</v>
      </c>
      <c r="DW355" s="566" t="e">
        <f t="shared" si="765"/>
        <v>#REF!</v>
      </c>
      <c r="DX355" s="566" t="e">
        <f t="shared" si="765"/>
        <v>#REF!</v>
      </c>
      <c r="DY355" s="566" t="e">
        <f t="shared" si="765"/>
        <v>#REF!</v>
      </c>
      <c r="DZ355" s="566" t="e">
        <f t="shared" si="765"/>
        <v>#REF!</v>
      </c>
      <c r="EA355" s="566">
        <f t="shared" si="765"/>
        <v>1170129.6810599999</v>
      </c>
      <c r="EB355" s="566">
        <f t="shared" si="765"/>
        <v>726987.68105999997</v>
      </c>
      <c r="EC355" s="566">
        <f t="shared" si="765"/>
        <v>443142</v>
      </c>
      <c r="ED355" s="566" t="e">
        <f t="shared" si="765"/>
        <v>#REF!</v>
      </c>
      <c r="EE355" s="566" t="e">
        <f t="shared" si="765"/>
        <v>#REF!</v>
      </c>
      <c r="EF355" s="566" t="e">
        <f t="shared" si="765"/>
        <v>#REF!</v>
      </c>
      <c r="EG355" s="566" t="e">
        <f>EH355+EI355+EJ355</f>
        <v>#REF!</v>
      </c>
      <c r="EH355" s="566" t="e">
        <f>EH207+EH285+EH354</f>
        <v>#REF!</v>
      </c>
      <c r="EI355" s="566">
        <f>EI207+EI285+EI354</f>
        <v>639535.67071999994</v>
      </c>
      <c r="EJ355" s="566" t="e">
        <f>EJ207+EJ285+EJ354</f>
        <v>#REF!</v>
      </c>
      <c r="EK355" s="566" t="e">
        <f>EL355+EM355+EN355</f>
        <v>#REF!</v>
      </c>
      <c r="EL355" s="566" t="e">
        <f t="shared" ref="EL355:ER355" si="766">EL207+EL285+EL354</f>
        <v>#REF!</v>
      </c>
      <c r="EM355" s="566" t="e">
        <f t="shared" si="766"/>
        <v>#REF!</v>
      </c>
      <c r="EN355" s="566" t="e">
        <f t="shared" si="766"/>
        <v>#REF!</v>
      </c>
      <c r="EO355" s="566" t="e">
        <f t="shared" si="766"/>
        <v>#REF!</v>
      </c>
      <c r="EP355" s="566" t="e">
        <f t="shared" si="766"/>
        <v>#REF!</v>
      </c>
      <c r="EQ355" s="566" t="e">
        <f t="shared" si="766"/>
        <v>#REF!</v>
      </c>
      <c r="ER355" s="566" t="e">
        <f t="shared" si="766"/>
        <v>#REF!</v>
      </c>
      <c r="ES355" s="566" t="e">
        <f>ET355+EU355+EV355</f>
        <v>#REF!</v>
      </c>
      <c r="ET355" s="566" t="e">
        <f t="shared" ref="ET355:FF355" si="767">ET207+ET285+ET354</f>
        <v>#REF!</v>
      </c>
      <c r="EU355" s="566">
        <f t="shared" si="767"/>
        <v>-200912.7696</v>
      </c>
      <c r="EV355" s="566" t="e">
        <f t="shared" si="767"/>
        <v>#REF!</v>
      </c>
      <c r="EW355" s="566" t="e">
        <f t="shared" si="767"/>
        <v>#REF!</v>
      </c>
      <c r="EX355" s="566" t="e">
        <f t="shared" si="767"/>
        <v>#REF!</v>
      </c>
      <c r="EY355" s="566" t="e">
        <f t="shared" si="767"/>
        <v>#REF!</v>
      </c>
      <c r="EZ355" s="566" t="e">
        <f t="shared" si="767"/>
        <v>#REF!</v>
      </c>
      <c r="FA355" s="566" t="e">
        <f t="shared" si="767"/>
        <v>#REF!</v>
      </c>
      <c r="FB355" s="566">
        <f t="shared" si="767"/>
        <v>260607.51318000001</v>
      </c>
      <c r="FC355" s="152">
        <f t="shared" si="767"/>
        <v>18483701.29298</v>
      </c>
      <c r="FD355" s="152">
        <f t="shared" si="767"/>
        <v>16250697.78345</v>
      </c>
      <c r="FE355" s="152">
        <f t="shared" si="767"/>
        <v>438079.28591999999</v>
      </c>
      <c r="FF355" s="152">
        <f t="shared" si="767"/>
        <v>1794924.22361</v>
      </c>
      <c r="FG355" s="152" t="e">
        <f>FH355+FI355+FJ355</f>
        <v>#REF!</v>
      </c>
      <c r="FH355" s="152" t="e">
        <f t="shared" ref="FH355:FN355" si="768">FH207+FH285+FH354</f>
        <v>#REF!</v>
      </c>
      <c r="FI355" s="152">
        <f t="shared" si="768"/>
        <v>543.61520000000019</v>
      </c>
      <c r="FJ355" s="152">
        <f t="shared" si="768"/>
        <v>82541.089620000028</v>
      </c>
      <c r="FK355" s="152" t="e">
        <f t="shared" si="768"/>
        <v>#REF!</v>
      </c>
      <c r="FL355" s="152" t="e">
        <f t="shared" si="768"/>
        <v>#REF!</v>
      </c>
      <c r="FM355" s="152" t="e">
        <f t="shared" si="768"/>
        <v>#REF!</v>
      </c>
      <c r="FN355" s="152" t="e">
        <f t="shared" si="768"/>
        <v>#REF!</v>
      </c>
      <c r="FO355" s="152">
        <f>FP355+FQ355+FR355</f>
        <v>14546578.735640001</v>
      </c>
      <c r="FP355" s="152">
        <f>FP207+FP285+FP354</f>
        <v>12352111.25093</v>
      </c>
      <c r="FQ355" s="152">
        <f>FQ207+FQ285+FQ354</f>
        <v>438622.90111999999</v>
      </c>
      <c r="FR355" s="152">
        <f>FR207+FR285+FR354</f>
        <v>1755844.5835900002</v>
      </c>
      <c r="FS355" s="152">
        <f>FU355+FW355+FY355</f>
        <v>10776617.849850001</v>
      </c>
      <c r="FT355" s="574">
        <f t="shared" si="763"/>
        <v>0.58303354285123055</v>
      </c>
      <c r="FU355" s="152">
        <f>FU207+FU285+FU354</f>
        <v>9880963.3290199991</v>
      </c>
      <c r="FV355" s="574">
        <f t="shared" si="764"/>
        <v>0.60803317252524058</v>
      </c>
      <c r="FW355" s="152">
        <f>FW207+FW285+FW354</f>
        <v>276081.24210999999</v>
      </c>
      <c r="FX355" s="574">
        <f t="shared" si="746"/>
        <v>0.63020839145637364</v>
      </c>
      <c r="FY355" s="658">
        <f>FY207+FY285+FY354</f>
        <v>619573.27872000006</v>
      </c>
      <c r="FZ355" s="669"/>
      <c r="GA355" s="152">
        <f>GC355+GE355+GG355</f>
        <v>10147679.173430001</v>
      </c>
      <c r="GB355" s="574">
        <f t="shared" si="756"/>
        <v>0.54900687976839513</v>
      </c>
      <c r="GC355" s="152">
        <f>GC207+GC285+GC354</f>
        <v>9296422.6217200011</v>
      </c>
      <c r="GD355" s="574">
        <f t="shared" si="758"/>
        <v>0.57206298127011157</v>
      </c>
      <c r="GE355" s="659">
        <f>GE207+GE285+GE354</f>
        <v>231683.27299</v>
      </c>
      <c r="GF355" s="574">
        <f>GE355/FE355</f>
        <v>0.52886151077298127</v>
      </c>
      <c r="GG355" s="659">
        <f>GG207+GG285+GG354</f>
        <v>619573.27872000006</v>
      </c>
      <c r="GH355" s="574">
        <f>GG355/FF355</f>
        <v>0.3451807438833811</v>
      </c>
      <c r="GI355" s="152">
        <f>GK355+GM355+GO355</f>
        <v>15553533.696899999</v>
      </c>
      <c r="GJ355" s="574">
        <f t="shared" si="658"/>
        <v>0.84147289822342775</v>
      </c>
      <c r="GK355" s="152">
        <f>GK207+GK285+GK354</f>
        <v>13462327.226099998</v>
      </c>
      <c r="GL355" s="574">
        <f t="shared" si="659"/>
        <v>0.82841533363633602</v>
      </c>
      <c r="GM355" s="152">
        <f>GM207+GM285+GM354</f>
        <v>305188.26696000004</v>
      </c>
      <c r="GN355" s="574">
        <f t="shared" si="748"/>
        <v>0.69665075882116034</v>
      </c>
      <c r="GO355" s="152">
        <f>GO207+GO285+GO354</f>
        <v>1786018.2038400001</v>
      </c>
      <c r="GP355" s="574">
        <f>GO355/FF355</f>
        <v>0.99503821963464956</v>
      </c>
      <c r="GQ355" s="566"/>
      <c r="GR355" s="566"/>
      <c r="GS355" s="566"/>
      <c r="GT355" s="566"/>
      <c r="GU355" s="566" t="e">
        <f>GU207+GU285+GU354</f>
        <v>#REF!</v>
      </c>
      <c r="GV355" s="566" t="e">
        <f>GV207+GV285+GV354</f>
        <v>#REF!</v>
      </c>
      <c r="GW355" s="566">
        <f>GW207+GW285+GW354</f>
        <v>680085.67045999994</v>
      </c>
      <c r="GX355" s="566" t="e">
        <f>GX207+GX285+GX354</f>
        <v>#REF!</v>
      </c>
      <c r="GY355" s="566"/>
      <c r="GZ355" s="566"/>
      <c r="HA355" s="566"/>
      <c r="HB355" s="566"/>
      <c r="HC355" s="566"/>
      <c r="HD355" s="566"/>
      <c r="HE355" s="566"/>
      <c r="HF355" s="566"/>
      <c r="HG355" s="566" t="e">
        <f>HH355+HI355+HJ355</f>
        <v>#REF!</v>
      </c>
      <c r="HH355" s="566" t="e">
        <f t="shared" ref="HH355:ID355" si="769">HH207+HH285+HH354</f>
        <v>#REF!</v>
      </c>
      <c r="HI355" s="566">
        <f t="shared" si="769"/>
        <v>0</v>
      </c>
      <c r="HJ355" s="566" t="e">
        <f t="shared" si="769"/>
        <v>#REF!</v>
      </c>
      <c r="HK355" s="566" t="e">
        <f t="shared" si="769"/>
        <v>#REF!</v>
      </c>
      <c r="HL355" s="566" t="e">
        <f t="shared" si="769"/>
        <v>#REF!</v>
      </c>
      <c r="HM355" s="566">
        <f t="shared" si="769"/>
        <v>0</v>
      </c>
      <c r="HN355" s="566" t="e">
        <f t="shared" si="769"/>
        <v>#REF!</v>
      </c>
      <c r="HO355" s="566" t="e">
        <f t="shared" si="769"/>
        <v>#REF!</v>
      </c>
      <c r="HP355" s="152" t="e">
        <f t="shared" si="769"/>
        <v>#REF!</v>
      </c>
      <c r="HQ355" s="566">
        <f t="shared" si="769"/>
        <v>680085.67045999994</v>
      </c>
      <c r="HR355" s="566">
        <f t="shared" si="769"/>
        <v>1448166.17875</v>
      </c>
      <c r="HS355" s="566" t="e">
        <f t="shared" si="769"/>
        <v>#REF!</v>
      </c>
      <c r="HT355" s="566" t="e">
        <f t="shared" si="769"/>
        <v>#REF!</v>
      </c>
      <c r="HU355" s="566">
        <f t="shared" si="769"/>
        <v>876341.19415</v>
      </c>
      <c r="HV355" s="566" t="e">
        <f t="shared" si="769"/>
        <v>#REF!</v>
      </c>
      <c r="HW355" s="566" t="e">
        <f t="shared" si="769"/>
        <v>#REF!</v>
      </c>
      <c r="HX355" s="566" t="e">
        <f t="shared" si="769"/>
        <v>#REF!</v>
      </c>
      <c r="HY355" s="566">
        <f t="shared" si="769"/>
        <v>0</v>
      </c>
      <c r="HZ355" s="566" t="e">
        <f t="shared" si="769"/>
        <v>#REF!</v>
      </c>
      <c r="IA355" s="566" t="e">
        <f t="shared" si="769"/>
        <v>#REF!</v>
      </c>
      <c r="IB355" s="566" t="e">
        <f t="shared" si="769"/>
        <v>#REF!</v>
      </c>
      <c r="IC355" s="566">
        <f t="shared" si="769"/>
        <v>876341.19415</v>
      </c>
      <c r="ID355" s="566" t="e">
        <f t="shared" si="769"/>
        <v>#REF!</v>
      </c>
      <c r="IE355" s="594"/>
      <c r="IF355" s="356"/>
      <c r="IG355" s="356"/>
      <c r="IH355" s="356"/>
    </row>
    <row r="356" spans="1:249" s="214" customFormat="1" ht="45.75" customHeight="1" x14ac:dyDescent="0.25">
      <c r="B356" s="310"/>
      <c r="C356" s="311" t="s">
        <v>131</v>
      </c>
      <c r="D356" s="312"/>
      <c r="E356" s="105"/>
      <c r="F356" s="105"/>
      <c r="G356" s="105"/>
      <c r="H356" s="144"/>
      <c r="I356" s="105"/>
      <c r="J356" s="105"/>
      <c r="K356" s="105"/>
      <c r="L356" s="105"/>
      <c r="M356" s="105"/>
      <c r="N356" s="144"/>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c r="AN356" s="105"/>
      <c r="AO356" s="106"/>
      <c r="AP356" s="105"/>
      <c r="AQ356" s="105"/>
      <c r="AR356" s="105"/>
      <c r="AS356" s="105"/>
      <c r="AT356" s="105"/>
      <c r="AU356" s="105"/>
      <c r="AV356" s="105"/>
      <c r="AW356" s="105"/>
      <c r="AX356" s="105"/>
      <c r="AY356" s="105"/>
      <c r="AZ356" s="105"/>
      <c r="BA356" s="105"/>
      <c r="BB356" s="105"/>
      <c r="BC356" s="105"/>
      <c r="BD356" s="105"/>
      <c r="BE356" s="105"/>
      <c r="BF356" s="105"/>
      <c r="BG356" s="105"/>
      <c r="BH356" s="105"/>
      <c r="BI356" s="105"/>
      <c r="BJ356" s="105"/>
      <c r="BK356" s="106"/>
      <c r="BL356" s="106"/>
      <c r="BM356" s="105"/>
      <c r="BN356" s="105"/>
      <c r="BO356" s="105"/>
      <c r="BP356" s="105"/>
      <c r="BQ356" s="105"/>
      <c r="BR356" s="105"/>
      <c r="BS356" s="105"/>
      <c r="BT356" s="105"/>
      <c r="BU356" s="105"/>
      <c r="BV356" s="105"/>
      <c r="BW356" s="105"/>
      <c r="BX356" s="105"/>
      <c r="BY356" s="105"/>
      <c r="BZ356" s="105"/>
      <c r="CA356" s="105"/>
      <c r="CB356" s="105"/>
      <c r="CC356" s="105"/>
      <c r="CD356" s="105"/>
      <c r="CE356" s="106"/>
      <c r="CF356" s="106"/>
      <c r="CG356" s="105"/>
      <c r="CH356" s="105"/>
      <c r="CI356" s="105"/>
      <c r="CJ356" s="105"/>
      <c r="CK356" s="105"/>
      <c r="CL356" s="105"/>
      <c r="CM356" s="105"/>
      <c r="CN356" s="105"/>
      <c r="CO356" s="105"/>
      <c r="CP356" s="105"/>
      <c r="CQ356" s="105"/>
      <c r="CR356" s="105"/>
      <c r="CS356" s="105"/>
      <c r="CT356" s="105"/>
      <c r="CU356" s="105"/>
      <c r="CV356" s="105"/>
      <c r="CW356" s="105"/>
      <c r="CX356" s="105"/>
      <c r="CY356" s="105"/>
      <c r="CZ356" s="105"/>
      <c r="DA356" s="105"/>
      <c r="DB356" s="105"/>
      <c r="DC356" s="105"/>
      <c r="DD356" s="105"/>
      <c r="DE356" s="105"/>
      <c r="DF356" s="105"/>
      <c r="DG356" s="105"/>
      <c r="DH356" s="105"/>
      <c r="DI356" s="105"/>
      <c r="DJ356" s="105"/>
      <c r="DK356" s="105"/>
      <c r="DL356" s="105"/>
      <c r="DM356" s="105"/>
      <c r="DN356" s="105"/>
      <c r="DO356" s="105"/>
      <c r="DP356" s="105"/>
      <c r="DQ356" s="105"/>
      <c r="DR356" s="105"/>
      <c r="DS356" s="105"/>
      <c r="DT356" s="105"/>
      <c r="DU356" s="105"/>
      <c r="DV356" s="105"/>
      <c r="DW356" s="105"/>
      <c r="DX356" s="105"/>
      <c r="DY356" s="105"/>
      <c r="DZ356" s="105"/>
      <c r="EA356" s="105"/>
      <c r="EB356" s="105"/>
      <c r="EC356" s="105"/>
      <c r="ED356" s="105"/>
      <c r="EE356" s="105"/>
      <c r="EF356" s="105"/>
      <c r="EG356" s="105" t="e">
        <f>EH356+EI356+EJ356</f>
        <v>#REF!</v>
      </c>
      <c r="EH356" s="105" t="e">
        <f>EH208+EH286+EH290+EH346+EH348+EH352</f>
        <v>#REF!</v>
      </c>
      <c r="EI356" s="105">
        <f>EI208+EI286+EI290+EI346+EI348+EI352</f>
        <v>639535.67071999994</v>
      </c>
      <c r="EJ356" s="105" t="e">
        <f>EJ208+EJ286+EJ290+EJ346+EJ348+EJ352</f>
        <v>#REF!</v>
      </c>
      <c r="EK356" s="105" t="e">
        <f>EL356+EM356+EN356</f>
        <v>#REF!</v>
      </c>
      <c r="EL356" s="105" t="e">
        <f>EL208+EL286+EL290+EL346+EL348+EL352</f>
        <v>#REF!</v>
      </c>
      <c r="EM356" s="105" t="e">
        <f>EM208+EM286+EM290+EM346+EM348+EM352</f>
        <v>#REF!</v>
      </c>
      <c r="EN356" s="105" t="e">
        <f>EN208+EN286+EN290+EN346+EN348+EN352</f>
        <v>#REF!</v>
      </c>
      <c r="EO356" s="105"/>
      <c r="EP356" s="105"/>
      <c r="EQ356" s="105"/>
      <c r="ER356" s="105"/>
      <c r="ES356" s="105" t="e">
        <f>ET356+EU356+EV356</f>
        <v>#REF!</v>
      </c>
      <c r="ET356" s="105" t="e">
        <f>ET208+ET286+ET290+ET346+ET348+ET352</f>
        <v>#REF!</v>
      </c>
      <c r="EU356" s="105">
        <f>EU208+EU286+EU290+EU346+EU348+EU352</f>
        <v>-200912.7696</v>
      </c>
      <c r="EV356" s="105" t="e">
        <f>EV208+EV286+EV290+EV346+EV348+EV352</f>
        <v>#REF!</v>
      </c>
      <c r="EW356" s="105"/>
      <c r="EX356" s="105"/>
      <c r="EY356" s="105"/>
      <c r="EZ356" s="105"/>
      <c r="FA356" s="105"/>
      <c r="FB356" s="105"/>
      <c r="FC356" s="103">
        <f>FD356+FE356+FF356</f>
        <v>14333701.29298</v>
      </c>
      <c r="FD356" s="103">
        <f>FD208+FD286+FD290+FD346+FD348+FD352</f>
        <v>12154009.725450002</v>
      </c>
      <c r="FE356" s="103">
        <f>FE208+FE286+FE290+FE346+FE348+FE352</f>
        <v>438079.28591999999</v>
      </c>
      <c r="FF356" s="103">
        <f>FF208+FF286+FF290+FF346+FF348+FF352</f>
        <v>1741612.2816099999</v>
      </c>
      <c r="FG356" s="103" t="e">
        <f>FH356+FI356+FJ356</f>
        <v>#REF!</v>
      </c>
      <c r="FH356" s="103" t="e">
        <f>FH354+FH286+FH208</f>
        <v>#REF!</v>
      </c>
      <c r="FI356" s="103">
        <f>FI208+FI286+FI290+FI346+FI348+FI352</f>
        <v>543.61520000000019</v>
      </c>
      <c r="FJ356" s="103">
        <f>FJ208+FJ286+FJ290+FJ346+FJ348+FJ352</f>
        <v>29229.147620000025</v>
      </c>
      <c r="FK356" s="103"/>
      <c r="FL356" s="103"/>
      <c r="FM356" s="103"/>
      <c r="FN356" s="103"/>
      <c r="FO356" s="103">
        <f>FP356+FQ356+FR356</f>
        <v>11696578.735640001</v>
      </c>
      <c r="FP356" s="103">
        <f>FP208+FP286+FP290+FP346+FP348+FP352</f>
        <v>9555423.1929300018</v>
      </c>
      <c r="FQ356" s="103">
        <f>FQ208+FQ286+FQ290+FQ346+FQ348+FQ352</f>
        <v>438622.90111999999</v>
      </c>
      <c r="FR356" s="103">
        <f>FR208+FR286+FR290+FR346+FR348+FR352</f>
        <v>1702532.6415900001</v>
      </c>
      <c r="FS356" s="103">
        <f>FU356+FW356+FY356</f>
        <v>7681814.7737100003</v>
      </c>
      <c r="FT356" s="577">
        <f t="shared" si="763"/>
        <v>0.53592680750729793</v>
      </c>
      <c r="FU356" s="103">
        <f>FU208+FU286+FU290+FU346+FU348+FU352</f>
        <v>6786160.2528800005</v>
      </c>
      <c r="FV356" s="577">
        <f t="shared" si="764"/>
        <v>0.55834744303931705</v>
      </c>
      <c r="FW356" s="103">
        <f>FW208+FW286+FW290+FW346+FW348+FW352</f>
        <v>276081.24210999999</v>
      </c>
      <c r="FX356" s="577">
        <f t="shared" si="746"/>
        <v>0.63020839145637364</v>
      </c>
      <c r="FY356" s="105">
        <f>FY208+FY286+FY290+FY346+FY348+FY352</f>
        <v>619573.27872000006</v>
      </c>
      <c r="FZ356" s="672"/>
      <c r="GA356" s="103">
        <f>GC356+GE356+GG356</f>
        <v>7263089.7150300015</v>
      </c>
      <c r="GB356" s="577">
        <f t="shared" si="756"/>
        <v>0.50671418125527246</v>
      </c>
      <c r="GC356" s="103">
        <f>GC208+GC286+GC290+GC346+GC348+GC352</f>
        <v>6411833.1633200012</v>
      </c>
      <c r="GD356" s="577">
        <f t="shared" si="758"/>
        <v>0.52754879320969139</v>
      </c>
      <c r="GE356" s="105">
        <f>GE208+GE286+GE290+GE346+GE348+GE352</f>
        <v>231683.27299</v>
      </c>
      <c r="GF356" s="577">
        <f>GE356/FE356</f>
        <v>0.52886151077298127</v>
      </c>
      <c r="GG356" s="105">
        <f>GG208+GG286+GG290+GG346+GG348+GG352</f>
        <v>619573.27872000006</v>
      </c>
      <c r="GH356" s="577">
        <f>GG356/FF356</f>
        <v>0.35574696231887354</v>
      </c>
      <c r="GI356" s="103">
        <f>GK356+GM356+GO356</f>
        <v>11843594.473410001</v>
      </c>
      <c r="GJ356" s="577">
        <f t="shared" si="658"/>
        <v>0.82627607701092942</v>
      </c>
      <c r="GK356" s="103">
        <f>GK208+GK286+GK290+GK346+GK348+GK352</f>
        <v>9802981.4816100001</v>
      </c>
      <c r="GL356" s="577">
        <f t="shared" si="659"/>
        <v>0.80656357062829698</v>
      </c>
      <c r="GM356" s="103">
        <f>GM208+GM286+GM290+GM346+GM348+GM352</f>
        <v>305188.26696000004</v>
      </c>
      <c r="GN356" s="577">
        <f t="shared" si="748"/>
        <v>0.69665075882116034</v>
      </c>
      <c r="GO356" s="103">
        <f>GO208+GO286+GO290+GO346+GO348+GO352</f>
        <v>1735424.7248400003</v>
      </c>
      <c r="GP356" s="577">
        <f>GO356/FF356</f>
        <v>0.99644722488734416</v>
      </c>
      <c r="GQ356" s="105"/>
      <c r="GR356" s="105"/>
      <c r="GS356" s="105"/>
      <c r="GT356" s="105"/>
      <c r="GU356" s="105" t="e">
        <f>GV356+GW356+GX356</f>
        <v>#REF!</v>
      </c>
      <c r="GV356" s="105" t="e">
        <f>GV208+GV286+GV290+GV346+GV348+GV352</f>
        <v>#REF!</v>
      </c>
      <c r="GW356" s="105">
        <f>GW208+GW286+GW290+GW346+GW348+GW352</f>
        <v>680085.67045999994</v>
      </c>
      <c r="GX356" s="105" t="e">
        <f>GX208+GX286+GX290+GX346+GX348+GX352</f>
        <v>#REF!</v>
      </c>
      <c r="GY356" s="144"/>
      <c r="GZ356" s="144"/>
      <c r="HA356" s="144"/>
      <c r="HB356" s="144"/>
      <c r="HC356" s="144"/>
      <c r="HD356" s="144"/>
      <c r="HE356" s="144"/>
      <c r="HF356" s="144"/>
      <c r="HG356" s="105" t="e">
        <f>HH356+HI356+HJ356</f>
        <v>#REF!</v>
      </c>
      <c r="HH356" s="105" t="e">
        <f>HH208+HH286+HH290+HH346+HH348+HH352</f>
        <v>#REF!</v>
      </c>
      <c r="HI356" s="105">
        <f>HI208+HI286+HI290+HI346+HI348+HI352</f>
        <v>0</v>
      </c>
      <c r="HJ356" s="105" t="e">
        <f>HJ208+HJ286+HJ290+HJ346+HJ348+HJ352</f>
        <v>#REF!</v>
      </c>
      <c r="HK356" s="105" t="e">
        <f>HL356+HM356+HN356</f>
        <v>#REF!</v>
      </c>
      <c r="HL356" s="105" t="e">
        <f>HL208+HL286+HL290+HL346+HL348+HL352</f>
        <v>#REF!</v>
      </c>
      <c r="HM356" s="105">
        <f>HM208+HM286+HM290+HM346+HM348+HM352</f>
        <v>0</v>
      </c>
      <c r="HN356" s="105" t="e">
        <f>HN208+HN286+HN290+HN346+HN348+HN352</f>
        <v>#REF!</v>
      </c>
      <c r="HO356" s="105" t="e">
        <f>HP356+HQ356+HR356</f>
        <v>#REF!</v>
      </c>
      <c r="HP356" s="105" t="e">
        <f>HP208+HP286+HP290+HP346+HP348+HP352</f>
        <v>#REF!</v>
      </c>
      <c r="HQ356" s="105">
        <f>HQ208+HQ286+HQ290+HQ346+HQ348+HQ352</f>
        <v>680085.67045999994</v>
      </c>
      <c r="HR356" s="105">
        <f>HR208+HR286+HR290+HR346+HR348+HR352</f>
        <v>1448166.17875</v>
      </c>
      <c r="HS356" s="105" t="e">
        <f>HT356+HU356+HV356</f>
        <v>#REF!</v>
      </c>
      <c r="HT356" s="105" t="e">
        <f>HT208+HT286+HT290+HT346+HT348+HT352</f>
        <v>#REF!</v>
      </c>
      <c r="HU356" s="105">
        <f>HU208+HU286+HU290+HU346+HU348+HU352</f>
        <v>876341.19415</v>
      </c>
      <c r="HV356" s="105" t="e">
        <f>HV208+HV286+HV290+HV346+HV348+HV352</f>
        <v>#REF!</v>
      </c>
      <c r="HW356" s="105" t="e">
        <f>HX356+HY356+HZ356</f>
        <v>#REF!</v>
      </c>
      <c r="HX356" s="105" t="e">
        <f>HX208+HX286+HX290+HX346+HX348+HX352</f>
        <v>#REF!</v>
      </c>
      <c r="HY356" s="105">
        <f>HY208+HY286+HY290+HY346+HY348+HY352</f>
        <v>0</v>
      </c>
      <c r="HZ356" s="105" t="e">
        <f>HZ208+HZ286+HZ290+HZ346+HZ348+HZ352</f>
        <v>#REF!</v>
      </c>
      <c r="IA356" s="105" t="e">
        <f>IB356+IC356+ID356</f>
        <v>#REF!</v>
      </c>
      <c r="IB356" s="105" t="e">
        <f>IB208+IB286+IB290+IB346+IB348+IB352</f>
        <v>#REF!</v>
      </c>
      <c r="IC356" s="105">
        <f>IC208+IC286+IC290+IC346+IC348+IC352</f>
        <v>876341.19415</v>
      </c>
      <c r="ID356" s="105" t="e">
        <f>ID208+ID286+ID290+ID346+ID348+ID352</f>
        <v>#REF!</v>
      </c>
      <c r="IE356" s="198"/>
      <c r="IF356" s="141"/>
      <c r="IG356" s="141"/>
      <c r="IH356" s="141"/>
      <c r="II356" s="202"/>
      <c r="IJ356" s="202"/>
      <c r="IK356" s="202"/>
      <c r="IL356" s="202"/>
      <c r="IM356" s="202"/>
      <c r="IN356" s="202"/>
      <c r="IO356" s="202"/>
    </row>
    <row r="357" spans="1:249" s="127" customFormat="1" ht="46.5" customHeight="1" x14ac:dyDescent="0.25">
      <c r="B357" s="313"/>
      <c r="C357" s="314" t="s">
        <v>132</v>
      </c>
      <c r="D357" s="315"/>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20"/>
      <c r="AJ357" s="119"/>
      <c r="AK357" s="119"/>
      <c r="AL357" s="119"/>
      <c r="AM357" s="121"/>
      <c r="AN357" s="119"/>
      <c r="AO357" s="124"/>
      <c r="AP357" s="119"/>
      <c r="AQ357" s="119"/>
      <c r="AR357" s="119"/>
      <c r="AS357" s="119"/>
      <c r="AT357" s="119"/>
      <c r="AU357" s="119"/>
      <c r="AV357" s="119"/>
      <c r="AW357" s="119"/>
      <c r="AX357" s="119"/>
      <c r="AY357" s="119"/>
      <c r="AZ357" s="119"/>
      <c r="BA357" s="119"/>
      <c r="BB357" s="119"/>
      <c r="BC357" s="119"/>
      <c r="BD357" s="119"/>
      <c r="BE357" s="119"/>
      <c r="BF357" s="119"/>
      <c r="BG357" s="119"/>
      <c r="BH357" s="119"/>
      <c r="BI357" s="119"/>
      <c r="BJ357" s="119"/>
      <c r="BK357" s="124"/>
      <c r="BL357" s="124"/>
      <c r="BM357" s="124"/>
      <c r="BN357" s="124"/>
      <c r="BO357" s="124"/>
      <c r="BP357" s="124"/>
      <c r="BQ357" s="124"/>
      <c r="BR357" s="124"/>
      <c r="BS357" s="124"/>
      <c r="BT357" s="124"/>
      <c r="BU357" s="124"/>
      <c r="BV357" s="119"/>
      <c r="BW357" s="119"/>
      <c r="BX357" s="119"/>
      <c r="BY357" s="119"/>
      <c r="BZ357" s="119"/>
      <c r="CA357" s="119"/>
      <c r="CB357" s="119"/>
      <c r="CC357" s="119"/>
      <c r="CD357" s="119"/>
      <c r="CE357" s="124"/>
      <c r="CF357" s="124"/>
      <c r="CG357" s="119"/>
      <c r="CH357" s="119"/>
      <c r="CI357" s="119"/>
      <c r="CJ357" s="119"/>
      <c r="CK357" s="119"/>
      <c r="CL357" s="119"/>
      <c r="CM357" s="119"/>
      <c r="CN357" s="119"/>
      <c r="CO357" s="119"/>
      <c r="CP357" s="119"/>
      <c r="CQ357" s="119"/>
      <c r="CR357" s="119"/>
      <c r="CS357" s="119"/>
      <c r="CT357" s="119"/>
      <c r="CU357" s="119"/>
      <c r="CV357" s="119"/>
      <c r="CW357" s="119"/>
      <c r="CX357" s="119"/>
      <c r="CY357" s="119"/>
      <c r="CZ357" s="119"/>
      <c r="DA357" s="119"/>
      <c r="DB357" s="119"/>
      <c r="DC357" s="119"/>
      <c r="DD357" s="119"/>
      <c r="DE357" s="119"/>
      <c r="DF357" s="119"/>
      <c r="DG357" s="119"/>
      <c r="DH357" s="119"/>
      <c r="DI357" s="119"/>
      <c r="DJ357" s="119"/>
      <c r="DK357" s="119"/>
      <c r="DL357" s="119"/>
      <c r="DM357" s="119"/>
      <c r="DN357" s="119"/>
      <c r="DO357" s="119"/>
      <c r="DP357" s="119"/>
      <c r="DQ357" s="119"/>
      <c r="DR357" s="119"/>
      <c r="DS357" s="119"/>
      <c r="DT357" s="119"/>
      <c r="DU357" s="119"/>
      <c r="DV357" s="119"/>
      <c r="DW357" s="119"/>
      <c r="DX357" s="119"/>
      <c r="DY357" s="119"/>
      <c r="DZ357" s="119"/>
      <c r="EA357" s="119"/>
      <c r="EB357" s="119"/>
      <c r="EC357" s="119"/>
      <c r="ED357" s="119"/>
      <c r="EE357" s="119"/>
      <c r="EF357" s="119"/>
      <c r="EG357" s="119">
        <f>EH357+EI357+EJ357</f>
        <v>2700000</v>
      </c>
      <c r="EH357" s="119">
        <f>EH209+EH287</f>
        <v>2700000</v>
      </c>
      <c r="EI357" s="119">
        <f>EI209+EI287</f>
        <v>0</v>
      </c>
      <c r="EJ357" s="119">
        <f>EJ209+EJ287</f>
        <v>0</v>
      </c>
      <c r="EK357" s="119">
        <f>EL357+EM357+EN357</f>
        <v>0</v>
      </c>
      <c r="EL357" s="119">
        <f>EL209+EL287</f>
        <v>0</v>
      </c>
      <c r="EM357" s="119">
        <f>EM209+EM287</f>
        <v>0</v>
      </c>
      <c r="EN357" s="119">
        <f>EN209+EN287</f>
        <v>0</v>
      </c>
      <c r="EO357" s="119"/>
      <c r="EP357" s="119"/>
      <c r="EQ357" s="119"/>
      <c r="ER357" s="119"/>
      <c r="ES357" s="119">
        <f>ET357+EU357+EV357</f>
        <v>0</v>
      </c>
      <c r="ET357" s="119">
        <f>ET209+ET287</f>
        <v>0</v>
      </c>
      <c r="EU357" s="119">
        <f>EU209+EU287</f>
        <v>0</v>
      </c>
      <c r="EV357" s="119">
        <f>EV209+EV287</f>
        <v>0</v>
      </c>
      <c r="EW357" s="119"/>
      <c r="EX357" s="119"/>
      <c r="EY357" s="119"/>
      <c r="EZ357" s="119"/>
      <c r="FA357" s="119"/>
      <c r="FB357" s="119"/>
      <c r="FC357" s="118">
        <f>FD357+FE357+FF357</f>
        <v>4150000</v>
      </c>
      <c r="FD357" s="118">
        <f>FD209+FD287</f>
        <v>4096688.0580000002</v>
      </c>
      <c r="FE357" s="118">
        <f>FE209+FE287</f>
        <v>0</v>
      </c>
      <c r="FF357" s="118">
        <f>FF209+FF287</f>
        <v>53311.942000000003</v>
      </c>
      <c r="FG357" s="118">
        <f>FH357+FI357+FJ357</f>
        <v>-46688.057999999997</v>
      </c>
      <c r="FH357" s="118">
        <f>FH209+FH287</f>
        <v>-100000</v>
      </c>
      <c r="FI357" s="118">
        <f>FI209+FI287</f>
        <v>0</v>
      </c>
      <c r="FJ357" s="118">
        <f>FJ209+FJ287</f>
        <v>53311.942000000003</v>
      </c>
      <c r="FK357" s="118"/>
      <c r="FL357" s="118"/>
      <c r="FM357" s="118"/>
      <c r="FN357" s="118"/>
      <c r="FO357" s="118">
        <f>FP357+FQ357+FR357</f>
        <v>2850000</v>
      </c>
      <c r="FP357" s="118">
        <f>FP209+FP287</f>
        <v>2796688.0580000002</v>
      </c>
      <c r="FQ357" s="118">
        <f>FQ209+FQ287</f>
        <v>0</v>
      </c>
      <c r="FR357" s="118">
        <f>FR209+FR287</f>
        <v>53311.942000000003</v>
      </c>
      <c r="FS357" s="631">
        <f>FU357+FW357+FY357</f>
        <v>3094803.07614</v>
      </c>
      <c r="FT357" s="520">
        <f t="shared" si="763"/>
        <v>0.74573568099759036</v>
      </c>
      <c r="FU357" s="631">
        <f>FU209+FU287</f>
        <v>3094803.07614</v>
      </c>
      <c r="FV357" s="520">
        <f t="shared" si="764"/>
        <v>0.75544025620805511</v>
      </c>
      <c r="FW357" s="631">
        <f>FW209+FW287</f>
        <v>0</v>
      </c>
      <c r="FX357" s="520">
        <v>0</v>
      </c>
      <c r="FY357" s="272">
        <f>FY209+FY287</f>
        <v>0</v>
      </c>
      <c r="FZ357" s="671"/>
      <c r="GA357" s="631">
        <f>GC357+GE357+GG357</f>
        <v>2884589.4583999999</v>
      </c>
      <c r="GB357" s="520">
        <f t="shared" si="756"/>
        <v>0.69508179720481922</v>
      </c>
      <c r="GC357" s="631">
        <f>GC209+GC287</f>
        <v>2884589.4583999999</v>
      </c>
      <c r="GD357" s="520">
        <f t="shared" si="758"/>
        <v>0.70412719190737072</v>
      </c>
      <c r="GE357" s="272">
        <f>GE209+GE287</f>
        <v>0</v>
      </c>
      <c r="GF357" s="520">
        <v>0</v>
      </c>
      <c r="GG357" s="272">
        <f>GG209+GG287</f>
        <v>0</v>
      </c>
      <c r="GH357" s="520">
        <v>0</v>
      </c>
      <c r="GI357" s="631">
        <f>GK357+GM357+GO357</f>
        <v>3709939.2234899998</v>
      </c>
      <c r="GJ357" s="520">
        <f t="shared" si="658"/>
        <v>0.89396125867228915</v>
      </c>
      <c r="GK357" s="631">
        <f>GK209+GK287</f>
        <v>3659345.74449</v>
      </c>
      <c r="GL357" s="520">
        <f t="shared" si="659"/>
        <v>0.89324490727187311</v>
      </c>
      <c r="GM357" s="631">
        <f>GM209+GM287</f>
        <v>0</v>
      </c>
      <c r="GN357" s="520">
        <v>0</v>
      </c>
      <c r="GO357" s="631">
        <f>GO209+GO287</f>
        <v>50593.478999999999</v>
      </c>
      <c r="GP357" s="520">
        <f>GO357/FF357</f>
        <v>0.94900836664325594</v>
      </c>
      <c r="GQ357" s="119"/>
      <c r="GR357" s="119"/>
      <c r="GS357" s="119"/>
      <c r="GT357" s="119"/>
      <c r="GU357" s="119">
        <f>GV357+GW357+GX357</f>
        <v>2700000</v>
      </c>
      <c r="GV357" s="119">
        <f>GV209+GV287</f>
        <v>2700000</v>
      </c>
      <c r="GW357" s="119">
        <f>GW209+GW287</f>
        <v>0</v>
      </c>
      <c r="GX357" s="119">
        <f>GX209+GX287</f>
        <v>0</v>
      </c>
      <c r="GY357" s="119"/>
      <c r="GZ357" s="119"/>
      <c r="HA357" s="119"/>
      <c r="HB357" s="119"/>
      <c r="HC357" s="119"/>
      <c r="HD357" s="119"/>
      <c r="HE357" s="119"/>
      <c r="HF357" s="119"/>
      <c r="HG357" s="119">
        <f>HH357+HI357+HJ357</f>
        <v>-983000</v>
      </c>
      <c r="HH357" s="119">
        <f>HH209+HH287</f>
        <v>-983000</v>
      </c>
      <c r="HI357" s="119">
        <f>HI209+HI287</f>
        <v>0</v>
      </c>
      <c r="HJ357" s="119">
        <f>HJ209+HJ287</f>
        <v>0</v>
      </c>
      <c r="HK357" s="119">
        <v>0</v>
      </c>
      <c r="HL357" s="119">
        <v>0</v>
      </c>
      <c r="HM357" s="119">
        <v>0</v>
      </c>
      <c r="HN357" s="119">
        <v>0</v>
      </c>
      <c r="HO357" s="119">
        <f>HP357+HQ357+HR357</f>
        <v>1717000</v>
      </c>
      <c r="HP357" s="119">
        <f>HP209+HP287</f>
        <v>1717000</v>
      </c>
      <c r="HQ357" s="119">
        <f>HQ209+HQ287</f>
        <v>0</v>
      </c>
      <c r="HR357" s="119">
        <f>HR209+HR287</f>
        <v>0</v>
      </c>
      <c r="HS357" s="119">
        <f>HT357+HU357+HV357</f>
        <v>0</v>
      </c>
      <c r="HT357" s="119">
        <f>HT209+HT287</f>
        <v>0</v>
      </c>
      <c r="HU357" s="119">
        <f>HU209+HU287</f>
        <v>0</v>
      </c>
      <c r="HV357" s="119">
        <f>HV209+HV287</f>
        <v>0</v>
      </c>
      <c r="HW357" s="119">
        <f>HX357+HY357+HZ357</f>
        <v>2152470</v>
      </c>
      <c r="HX357" s="119">
        <f>HX209+HX287</f>
        <v>2152470</v>
      </c>
      <c r="HY357" s="119">
        <f>HY209+HY287</f>
        <v>0</v>
      </c>
      <c r="HZ357" s="119">
        <f>HZ209+HZ287</f>
        <v>0</v>
      </c>
      <c r="IA357" s="119">
        <f>IB357+IC357+ID357</f>
        <v>2152470</v>
      </c>
      <c r="IB357" s="119">
        <f>IB209+IB287</f>
        <v>2152470</v>
      </c>
      <c r="IC357" s="119">
        <f>IC209+IC287</f>
        <v>0</v>
      </c>
      <c r="ID357" s="119">
        <f>ID209+ID287</f>
        <v>0</v>
      </c>
      <c r="IE357" s="125"/>
      <c r="IF357" s="126"/>
      <c r="IG357" s="126"/>
      <c r="IH357" s="126"/>
    </row>
    <row r="358" spans="1:249" s="536" customFormat="1" ht="80.25" hidden="1" customHeight="1" x14ac:dyDescent="0.25">
      <c r="B358" s="694"/>
      <c r="C358" s="740" t="s">
        <v>477</v>
      </c>
      <c r="D358" s="741"/>
      <c r="E358" s="539"/>
      <c r="F358" s="539"/>
      <c r="G358" s="539"/>
      <c r="H358" s="539"/>
      <c r="I358" s="539"/>
      <c r="J358" s="539"/>
      <c r="K358" s="539"/>
      <c r="L358" s="539"/>
      <c r="M358" s="539"/>
      <c r="N358" s="539"/>
      <c r="O358" s="539"/>
      <c r="P358" s="539"/>
      <c r="Q358" s="539"/>
      <c r="R358" s="539"/>
      <c r="S358" s="539"/>
      <c r="T358" s="539"/>
      <c r="U358" s="539"/>
      <c r="V358" s="539"/>
      <c r="W358" s="539"/>
      <c r="X358" s="539"/>
      <c r="Y358" s="539"/>
      <c r="Z358" s="539"/>
      <c r="AA358" s="539"/>
      <c r="AB358" s="539"/>
      <c r="AC358" s="539"/>
      <c r="AD358" s="539"/>
      <c r="AE358" s="539"/>
      <c r="AF358" s="539"/>
      <c r="AG358" s="539"/>
      <c r="AH358" s="539"/>
      <c r="AI358" s="540"/>
      <c r="AJ358" s="539"/>
      <c r="AK358" s="539"/>
      <c r="AL358" s="539"/>
      <c r="AM358" s="541"/>
      <c r="AN358" s="539"/>
      <c r="AO358" s="544"/>
      <c r="AP358" s="539"/>
      <c r="AQ358" s="539"/>
      <c r="AR358" s="539"/>
      <c r="AS358" s="539"/>
      <c r="AT358" s="539"/>
      <c r="AU358" s="539"/>
      <c r="AV358" s="539"/>
      <c r="AW358" s="539"/>
      <c r="AX358" s="539"/>
      <c r="AY358" s="539"/>
      <c r="AZ358" s="539"/>
      <c r="BA358" s="539"/>
      <c r="BB358" s="539"/>
      <c r="BC358" s="539"/>
      <c r="BD358" s="539"/>
      <c r="BE358" s="539"/>
      <c r="BF358" s="539"/>
      <c r="BG358" s="539"/>
      <c r="BH358" s="539"/>
      <c r="BI358" s="539"/>
      <c r="BJ358" s="539"/>
      <c r="BK358" s="544"/>
      <c r="BL358" s="544"/>
      <c r="BM358" s="544"/>
      <c r="BN358" s="544"/>
      <c r="BO358" s="544"/>
      <c r="BP358" s="544"/>
      <c r="BQ358" s="544"/>
      <c r="BR358" s="544"/>
      <c r="BS358" s="544"/>
      <c r="BT358" s="544"/>
      <c r="BU358" s="544"/>
      <c r="BV358" s="539"/>
      <c r="BW358" s="539"/>
      <c r="BX358" s="539"/>
      <c r="BY358" s="539"/>
      <c r="BZ358" s="539"/>
      <c r="CA358" s="539"/>
      <c r="CB358" s="539"/>
      <c r="CC358" s="539"/>
      <c r="CD358" s="539"/>
      <c r="CE358" s="544"/>
      <c r="CF358" s="544"/>
      <c r="CG358" s="539"/>
      <c r="CH358" s="539"/>
      <c r="CI358" s="539"/>
      <c r="CJ358" s="539"/>
      <c r="CK358" s="539"/>
      <c r="CL358" s="539"/>
      <c r="CM358" s="539"/>
      <c r="CN358" s="539"/>
      <c r="CO358" s="539"/>
      <c r="CP358" s="539"/>
      <c r="CQ358" s="539"/>
      <c r="CR358" s="539"/>
      <c r="CS358" s="539"/>
      <c r="CT358" s="539"/>
      <c r="CU358" s="539"/>
      <c r="CV358" s="539"/>
      <c r="CW358" s="539"/>
      <c r="CX358" s="539"/>
      <c r="CY358" s="539"/>
      <c r="CZ358" s="539"/>
      <c r="DA358" s="539"/>
      <c r="DB358" s="539"/>
      <c r="DC358" s="539"/>
      <c r="DD358" s="539"/>
      <c r="DE358" s="539"/>
      <c r="DF358" s="539"/>
      <c r="DG358" s="539"/>
      <c r="DH358" s="539"/>
      <c r="DI358" s="539"/>
      <c r="DJ358" s="539"/>
      <c r="DK358" s="539"/>
      <c r="DL358" s="539"/>
      <c r="DM358" s="539"/>
      <c r="DN358" s="539"/>
      <c r="DO358" s="539"/>
      <c r="DP358" s="539"/>
      <c r="DQ358" s="539"/>
      <c r="DR358" s="539"/>
      <c r="DS358" s="539"/>
      <c r="DT358" s="539"/>
      <c r="DU358" s="539"/>
      <c r="DV358" s="539"/>
      <c r="DW358" s="539"/>
      <c r="DX358" s="539"/>
      <c r="DY358" s="539"/>
      <c r="DZ358" s="539"/>
      <c r="EA358" s="539"/>
      <c r="EB358" s="539"/>
      <c r="EC358" s="539"/>
      <c r="ED358" s="539"/>
      <c r="EE358" s="539"/>
      <c r="EF358" s="539"/>
      <c r="EG358" s="539"/>
      <c r="EH358" s="539"/>
      <c r="EI358" s="539"/>
      <c r="EJ358" s="539"/>
      <c r="EK358" s="539"/>
      <c r="EL358" s="539"/>
      <c r="EM358" s="539"/>
      <c r="EN358" s="539"/>
      <c r="EO358" s="539"/>
      <c r="EP358" s="539"/>
      <c r="EQ358" s="539"/>
      <c r="ER358" s="539"/>
      <c r="ES358" s="539"/>
      <c r="ET358" s="539"/>
      <c r="EU358" s="539"/>
      <c r="EV358" s="539"/>
      <c r="EW358" s="539"/>
      <c r="EX358" s="539"/>
      <c r="EY358" s="539"/>
      <c r="EZ358" s="539"/>
      <c r="FA358" s="539"/>
      <c r="FB358" s="539"/>
      <c r="FC358" s="538">
        <f>FD358</f>
        <v>0</v>
      </c>
      <c r="FD358" s="538">
        <f>FD210</f>
        <v>0</v>
      </c>
      <c r="FE358" s="538"/>
      <c r="FF358" s="538"/>
      <c r="FG358" s="538"/>
      <c r="FH358" s="538"/>
      <c r="FI358" s="538"/>
      <c r="FJ358" s="538"/>
      <c r="FK358" s="538"/>
      <c r="FL358" s="538"/>
      <c r="FM358" s="538"/>
      <c r="FN358" s="538"/>
      <c r="FO358" s="538"/>
      <c r="FP358" s="538"/>
      <c r="FQ358" s="538"/>
      <c r="FR358" s="538"/>
      <c r="FS358" s="538">
        <f>FU358</f>
        <v>261667.67939999999</v>
      </c>
      <c r="FT358" s="547">
        <v>0</v>
      </c>
      <c r="FU358" s="538">
        <f>FU210</f>
        <v>261667.67939999999</v>
      </c>
      <c r="FV358" s="547">
        <v>0</v>
      </c>
      <c r="FW358" s="538"/>
      <c r="FX358" s="547">
        <v>0</v>
      </c>
      <c r="FY358" s="539"/>
      <c r="FZ358" s="695"/>
      <c r="GA358" s="538">
        <v>0</v>
      </c>
      <c r="GB358" s="547">
        <v>0</v>
      </c>
      <c r="GC358" s="538"/>
      <c r="GD358" s="547"/>
      <c r="GE358" s="539"/>
      <c r="GF358" s="547"/>
      <c r="GG358" s="539"/>
      <c r="GH358" s="547"/>
      <c r="GI358" s="538">
        <v>0</v>
      </c>
      <c r="GJ358" s="547">
        <v>0</v>
      </c>
      <c r="GK358" s="538"/>
      <c r="GL358" s="547"/>
      <c r="GM358" s="538"/>
      <c r="GN358" s="547"/>
      <c r="GO358" s="538"/>
      <c r="GP358" s="547"/>
      <c r="GQ358" s="539"/>
      <c r="GR358" s="539"/>
      <c r="GS358" s="539"/>
      <c r="GT358" s="539"/>
      <c r="GU358" s="539"/>
      <c r="GV358" s="539"/>
      <c r="GW358" s="539"/>
      <c r="GX358" s="539"/>
      <c r="GY358" s="539"/>
      <c r="GZ358" s="539"/>
      <c r="HA358" s="539"/>
      <c r="HB358" s="539"/>
      <c r="HC358" s="539"/>
      <c r="HD358" s="539"/>
      <c r="HE358" s="539"/>
      <c r="HF358" s="539"/>
      <c r="HG358" s="539"/>
      <c r="HH358" s="539"/>
      <c r="HI358" s="539"/>
      <c r="HJ358" s="539"/>
      <c r="HK358" s="539"/>
      <c r="HL358" s="539"/>
      <c r="HM358" s="539"/>
      <c r="HN358" s="539"/>
      <c r="HO358" s="539"/>
      <c r="HP358" s="539"/>
      <c r="HQ358" s="539"/>
      <c r="HR358" s="539"/>
      <c r="HS358" s="539"/>
      <c r="HT358" s="539"/>
      <c r="HU358" s="539"/>
      <c r="HV358" s="539"/>
      <c r="HW358" s="539"/>
      <c r="HX358" s="539"/>
      <c r="HY358" s="539"/>
      <c r="HZ358" s="539"/>
      <c r="IA358" s="539"/>
      <c r="IB358" s="539"/>
      <c r="IC358" s="539"/>
      <c r="ID358" s="539"/>
      <c r="IE358" s="545"/>
      <c r="IF358" s="546"/>
      <c r="IG358" s="546"/>
      <c r="IH358" s="546"/>
    </row>
    <row r="359" spans="1:249" s="338" customFormat="1" ht="64.5" customHeight="1" x14ac:dyDescent="0.25">
      <c r="B359" s="736" t="s">
        <v>490</v>
      </c>
      <c r="C359" s="737"/>
      <c r="D359" s="335"/>
      <c r="E359" s="189">
        <f>E137+E263</f>
        <v>615167</v>
      </c>
      <c r="F359" s="189"/>
      <c r="G359" s="189">
        <f>G137+G263</f>
        <v>615167</v>
      </c>
      <c r="H359" s="189">
        <f>H137+H263</f>
        <v>0</v>
      </c>
      <c r="I359" s="189"/>
      <c r="J359" s="189">
        <f>J137+J263</f>
        <v>0</v>
      </c>
      <c r="K359" s="189">
        <f>K137+K263</f>
        <v>615167</v>
      </c>
      <c r="L359" s="189"/>
      <c r="M359" s="189">
        <f>M137+M263</f>
        <v>615167</v>
      </c>
      <c r="N359" s="189">
        <f>N137+N263</f>
        <v>290000</v>
      </c>
      <c r="O359" s="189"/>
      <c r="P359" s="189">
        <f>P137+P263</f>
        <v>290000</v>
      </c>
      <c r="Q359" s="189">
        <f>Q137+Q263</f>
        <v>905167</v>
      </c>
      <c r="R359" s="189"/>
      <c r="S359" s="189">
        <f t="shared" ref="S359:Y359" si="770">S137+S263</f>
        <v>905167</v>
      </c>
      <c r="T359" s="189">
        <f t="shared" si="770"/>
        <v>400000</v>
      </c>
      <c r="U359" s="189">
        <f t="shared" si="770"/>
        <v>0</v>
      </c>
      <c r="V359" s="189">
        <f t="shared" si="770"/>
        <v>400000</v>
      </c>
      <c r="W359" s="189">
        <f t="shared" si="770"/>
        <v>34246.400000000023</v>
      </c>
      <c r="X359" s="189">
        <f t="shared" si="770"/>
        <v>0</v>
      </c>
      <c r="Y359" s="189">
        <f t="shared" si="770"/>
        <v>34246.400000000023</v>
      </c>
      <c r="Z359" s="189">
        <f t="shared" ref="Z359:AN359" si="771">Z211+Z288</f>
        <v>434246.40000000002</v>
      </c>
      <c r="AA359" s="189">
        <f t="shared" si="771"/>
        <v>0</v>
      </c>
      <c r="AB359" s="189">
        <f t="shared" si="771"/>
        <v>434246.40000000002</v>
      </c>
      <c r="AC359" s="189">
        <f t="shared" si="771"/>
        <v>0</v>
      </c>
      <c r="AD359" s="189">
        <f t="shared" si="771"/>
        <v>0</v>
      </c>
      <c r="AE359" s="189">
        <f t="shared" si="771"/>
        <v>0</v>
      </c>
      <c r="AF359" s="189" t="e">
        <f t="shared" si="771"/>
        <v>#REF!</v>
      </c>
      <c r="AG359" s="189">
        <f t="shared" si="771"/>
        <v>0</v>
      </c>
      <c r="AH359" s="189" t="e">
        <f t="shared" si="771"/>
        <v>#REF!</v>
      </c>
      <c r="AI359" s="189">
        <f t="shared" si="771"/>
        <v>0</v>
      </c>
      <c r="AJ359" s="189">
        <f t="shared" si="771"/>
        <v>0</v>
      </c>
      <c r="AK359" s="189">
        <f t="shared" si="771"/>
        <v>434246.40000000002</v>
      </c>
      <c r="AL359" s="189" t="e">
        <f t="shared" si="771"/>
        <v>#REF!</v>
      </c>
      <c r="AM359" s="189" t="e">
        <f t="shared" si="771"/>
        <v>#VALUE!</v>
      </c>
      <c r="AN359" s="189" t="e">
        <f t="shared" si="771"/>
        <v>#VALUE!</v>
      </c>
      <c r="AO359" s="189">
        <v>1</v>
      </c>
      <c r="AP359" s="189">
        <f t="shared" ref="AP359:BA359" si="772">AP211+AP288</f>
        <v>0</v>
      </c>
      <c r="AQ359" s="189">
        <f t="shared" si="772"/>
        <v>0</v>
      </c>
      <c r="AR359" s="189" t="e">
        <f t="shared" si="772"/>
        <v>#REF!</v>
      </c>
      <c r="AS359" s="189">
        <f t="shared" si="772"/>
        <v>348761.3</v>
      </c>
      <c r="AT359" s="189">
        <f t="shared" si="772"/>
        <v>0</v>
      </c>
      <c r="AU359" s="189">
        <f t="shared" si="772"/>
        <v>348761.3</v>
      </c>
      <c r="AV359" s="189">
        <f t="shared" si="772"/>
        <v>0</v>
      </c>
      <c r="AW359" s="189">
        <f t="shared" si="772"/>
        <v>0</v>
      </c>
      <c r="AX359" s="189">
        <f t="shared" si="772"/>
        <v>0</v>
      </c>
      <c r="AY359" s="189">
        <f t="shared" si="772"/>
        <v>348761.3</v>
      </c>
      <c r="AZ359" s="189">
        <f t="shared" si="772"/>
        <v>0</v>
      </c>
      <c r="BA359" s="189">
        <f t="shared" si="772"/>
        <v>348761.3</v>
      </c>
      <c r="BB359" s="189">
        <f>BB137+BB263</f>
        <v>600000</v>
      </c>
      <c r="BC359" s="189"/>
      <c r="BD359" s="189">
        <f>BD137+BD263</f>
        <v>600000</v>
      </c>
      <c r="BE359" s="189">
        <f>BE137+BE263</f>
        <v>315773.90000000002</v>
      </c>
      <c r="BF359" s="189"/>
      <c r="BG359" s="189">
        <f>BG137+BG263</f>
        <v>315773.90000000002</v>
      </c>
      <c r="BH359" s="189">
        <f>BH211+BH288</f>
        <v>664535.19999999995</v>
      </c>
      <c r="BI359" s="189">
        <f>BI211+BI288</f>
        <v>0</v>
      </c>
      <c r="BJ359" s="189">
        <f>BJ211+BJ288</f>
        <v>664535.19999999995</v>
      </c>
      <c r="BK359" s="189">
        <v>1</v>
      </c>
      <c r="BL359" s="189">
        <f t="shared" ref="BL359:CA359" si="773">BL211+BL288</f>
        <v>348761.3</v>
      </c>
      <c r="BM359" s="189">
        <f t="shared" si="773"/>
        <v>0</v>
      </c>
      <c r="BN359" s="189">
        <f t="shared" si="773"/>
        <v>0</v>
      </c>
      <c r="BO359" s="189">
        <f t="shared" si="773"/>
        <v>0</v>
      </c>
      <c r="BP359" s="189">
        <f t="shared" si="773"/>
        <v>0</v>
      </c>
      <c r="BQ359" s="189">
        <f t="shared" si="773"/>
        <v>0</v>
      </c>
      <c r="BR359" s="189">
        <f t="shared" si="773"/>
        <v>0</v>
      </c>
      <c r="BS359" s="189">
        <f t="shared" si="773"/>
        <v>664535.19999999995</v>
      </c>
      <c r="BT359" s="189">
        <f t="shared" si="773"/>
        <v>0</v>
      </c>
      <c r="BU359" s="189">
        <f t="shared" si="773"/>
        <v>664535.19999999995</v>
      </c>
      <c r="BV359" s="189">
        <f t="shared" si="773"/>
        <v>348761.3</v>
      </c>
      <c r="BW359" s="189">
        <f t="shared" si="773"/>
        <v>0</v>
      </c>
      <c r="BX359" s="189">
        <f t="shared" si="773"/>
        <v>348761.3</v>
      </c>
      <c r="BY359" s="189">
        <f t="shared" si="773"/>
        <v>0</v>
      </c>
      <c r="BZ359" s="189">
        <f t="shared" si="773"/>
        <v>0</v>
      </c>
      <c r="CA359" s="189">
        <f t="shared" si="773"/>
        <v>0</v>
      </c>
      <c r="CB359" s="189">
        <f>CC359+CD359</f>
        <v>664535.19999999995</v>
      </c>
      <c r="CC359" s="189">
        <f>CC211+CC288</f>
        <v>0</v>
      </c>
      <c r="CD359" s="189">
        <f>CD211+CD288</f>
        <v>664535.19999999995</v>
      </c>
      <c r="CE359" s="189">
        <v>1</v>
      </c>
      <c r="CF359" s="189" t="e">
        <f>CF211+CF288</f>
        <v>#REF!</v>
      </c>
      <c r="CG359" s="189"/>
      <c r="CH359" s="189" t="e">
        <f t="shared" ref="CH359:CM359" si="774">CH211+CH288</f>
        <v>#REF!</v>
      </c>
      <c r="CI359" s="189" t="e">
        <f t="shared" si="774"/>
        <v>#REF!</v>
      </c>
      <c r="CJ359" s="189" t="e">
        <f t="shared" si="774"/>
        <v>#REF!</v>
      </c>
      <c r="CK359" s="189" t="e">
        <f t="shared" si="774"/>
        <v>#REF!</v>
      </c>
      <c r="CL359" s="189" t="e">
        <f t="shared" si="774"/>
        <v>#REF!</v>
      </c>
      <c r="CM359" s="189" t="e">
        <f t="shared" si="774"/>
        <v>#REF!</v>
      </c>
      <c r="CN359" s="189"/>
      <c r="CO359" s="189"/>
      <c r="CP359" s="189"/>
      <c r="CQ359" s="189" t="e">
        <f t="shared" ref="CQ359:CV359" si="775">CQ211+CQ288</f>
        <v>#REF!</v>
      </c>
      <c r="CR359" s="189" t="e">
        <f t="shared" si="775"/>
        <v>#REF!</v>
      </c>
      <c r="CS359" s="189" t="e">
        <f t="shared" si="775"/>
        <v>#REF!</v>
      </c>
      <c r="CT359" s="189">
        <f t="shared" si="775"/>
        <v>385949.74</v>
      </c>
      <c r="CU359" s="189">
        <f t="shared" si="775"/>
        <v>0</v>
      </c>
      <c r="CV359" s="189">
        <f t="shared" si="775"/>
        <v>385949.74</v>
      </c>
      <c r="CW359" s="189">
        <f>CX359+CY359</f>
        <v>1147628.53</v>
      </c>
      <c r="CX359" s="189">
        <f t="shared" ref="CX359:DE359" si="776">CX211+CX288</f>
        <v>0</v>
      </c>
      <c r="CY359" s="189">
        <f t="shared" si="776"/>
        <v>1147628.53</v>
      </c>
      <c r="CZ359" s="189">
        <f t="shared" si="776"/>
        <v>672740.28</v>
      </c>
      <c r="DA359" s="189">
        <f t="shared" si="776"/>
        <v>0</v>
      </c>
      <c r="DB359" s="189">
        <f t="shared" si="776"/>
        <v>672740.28</v>
      </c>
      <c r="DC359" s="189">
        <f t="shared" si="776"/>
        <v>380350</v>
      </c>
      <c r="DD359" s="189">
        <f t="shared" si="776"/>
        <v>0</v>
      </c>
      <c r="DE359" s="189">
        <f t="shared" si="776"/>
        <v>380350</v>
      </c>
      <c r="DF359" s="189">
        <f>DG359+DH359</f>
        <v>0</v>
      </c>
      <c r="DG359" s="189">
        <f>DG211+DG288</f>
        <v>0</v>
      </c>
      <c r="DH359" s="189">
        <f>DH211+DH288</f>
        <v>0</v>
      </c>
      <c r="DI359" s="189">
        <f>DJ359+DK359</f>
        <v>1147628.53</v>
      </c>
      <c r="DJ359" s="189">
        <f>DJ211+DJ288</f>
        <v>0</v>
      </c>
      <c r="DK359" s="189">
        <f>DK211+DK288</f>
        <v>1147628.53</v>
      </c>
      <c r="DL359" s="189">
        <f>DM359+DN359</f>
        <v>80543.645000000004</v>
      </c>
      <c r="DM359" s="189">
        <f>DM211+DM288</f>
        <v>0</v>
      </c>
      <c r="DN359" s="189">
        <f>DN211+DN288</f>
        <v>80543.645000000004</v>
      </c>
      <c r="DO359" s="189">
        <f>DP359+DQ359</f>
        <v>0</v>
      </c>
      <c r="DP359" s="189">
        <f>DP211+DP288</f>
        <v>0</v>
      </c>
      <c r="DQ359" s="189">
        <f>DQ211+DQ288</f>
        <v>0</v>
      </c>
      <c r="DR359" s="189">
        <f>DS359+DT359</f>
        <v>1061538.585</v>
      </c>
      <c r="DS359" s="189">
        <f t="shared" ref="DS359:EY359" si="777">DS211+DS288</f>
        <v>0</v>
      </c>
      <c r="DT359" s="189">
        <f t="shared" si="777"/>
        <v>1061538.585</v>
      </c>
      <c r="DU359" s="189">
        <f t="shared" si="777"/>
        <v>1053090.28</v>
      </c>
      <c r="DV359" s="189">
        <f t="shared" si="777"/>
        <v>0</v>
      </c>
      <c r="DW359" s="189">
        <f t="shared" si="777"/>
        <v>1053090.28</v>
      </c>
      <c r="DX359" s="189">
        <f t="shared" si="777"/>
        <v>384509.3</v>
      </c>
      <c r="DY359" s="189">
        <f t="shared" si="777"/>
        <v>0</v>
      </c>
      <c r="DZ359" s="189">
        <f t="shared" si="777"/>
        <v>384509.3</v>
      </c>
      <c r="EA359" s="189">
        <f t="shared" si="777"/>
        <v>443142</v>
      </c>
      <c r="EB359" s="189">
        <f t="shared" si="777"/>
        <v>0</v>
      </c>
      <c r="EC359" s="189">
        <f t="shared" si="777"/>
        <v>443142</v>
      </c>
      <c r="ED359" s="189">
        <f t="shared" si="777"/>
        <v>-126486.06200000001</v>
      </c>
      <c r="EE359" s="189">
        <f t="shared" si="777"/>
        <v>0</v>
      </c>
      <c r="EF359" s="189">
        <f t="shared" si="777"/>
        <v>-126486.06200000001</v>
      </c>
      <c r="EG359" s="189">
        <f t="shared" si="777"/>
        <v>1111789.9879999999</v>
      </c>
      <c r="EH359" s="189">
        <f t="shared" si="777"/>
        <v>0</v>
      </c>
      <c r="EI359" s="189">
        <f t="shared" si="777"/>
        <v>0</v>
      </c>
      <c r="EJ359" s="189">
        <f t="shared" si="777"/>
        <v>1111789.9879999999</v>
      </c>
      <c r="EK359" s="189">
        <f t="shared" si="777"/>
        <v>0</v>
      </c>
      <c r="EL359" s="189">
        <f t="shared" si="777"/>
        <v>0</v>
      </c>
      <c r="EM359" s="189">
        <f t="shared" si="777"/>
        <v>0</v>
      </c>
      <c r="EN359" s="189">
        <f t="shared" si="777"/>
        <v>0</v>
      </c>
      <c r="EO359" s="189" t="e">
        <f t="shared" si="777"/>
        <v>#REF!</v>
      </c>
      <c r="EP359" s="189">
        <f t="shared" si="777"/>
        <v>0</v>
      </c>
      <c r="EQ359" s="189">
        <f t="shared" si="777"/>
        <v>0</v>
      </c>
      <c r="ER359" s="189" t="e">
        <f t="shared" si="777"/>
        <v>#REF!</v>
      </c>
      <c r="ES359" s="189">
        <f t="shared" si="777"/>
        <v>-117239.90174999993</v>
      </c>
      <c r="ET359" s="189">
        <f t="shared" si="777"/>
        <v>0</v>
      </c>
      <c r="EU359" s="189">
        <f t="shared" si="777"/>
        <v>0</v>
      </c>
      <c r="EV359" s="189">
        <f t="shared" si="777"/>
        <v>-117239.90174999993</v>
      </c>
      <c r="EW359" s="189">
        <f t="shared" si="777"/>
        <v>827651.3</v>
      </c>
      <c r="EX359" s="189">
        <f t="shared" si="777"/>
        <v>0</v>
      </c>
      <c r="EY359" s="189">
        <f t="shared" si="777"/>
        <v>827651.3</v>
      </c>
      <c r="EZ359" s="189">
        <f>FA359+FB359</f>
        <v>0</v>
      </c>
      <c r="FA359" s="189">
        <f t="shared" ref="FA359:FR359" si="778">FA211+FA288</f>
        <v>0</v>
      </c>
      <c r="FB359" s="189">
        <f t="shared" si="778"/>
        <v>0</v>
      </c>
      <c r="FC359" s="188">
        <f t="shared" si="778"/>
        <v>1524316.71043</v>
      </c>
      <c r="FD359" s="188">
        <f t="shared" si="778"/>
        <v>0</v>
      </c>
      <c r="FE359" s="188">
        <f t="shared" si="778"/>
        <v>0</v>
      </c>
      <c r="FF359" s="188">
        <f t="shared" si="778"/>
        <v>1524316.71043</v>
      </c>
      <c r="FG359" s="188">
        <f t="shared" si="778"/>
        <v>53229.147620000025</v>
      </c>
      <c r="FH359" s="188">
        <f t="shared" si="778"/>
        <v>0</v>
      </c>
      <c r="FI359" s="188">
        <f t="shared" si="778"/>
        <v>0</v>
      </c>
      <c r="FJ359" s="188">
        <f t="shared" si="778"/>
        <v>53229.147620000025</v>
      </c>
      <c r="FK359" s="188">
        <f t="shared" si="778"/>
        <v>-40826.822620000006</v>
      </c>
      <c r="FL359" s="188">
        <f t="shared" si="778"/>
        <v>0</v>
      </c>
      <c r="FM359" s="188">
        <f t="shared" si="778"/>
        <v>0</v>
      </c>
      <c r="FN359" s="188">
        <f t="shared" si="778"/>
        <v>-40826.822620000006</v>
      </c>
      <c r="FO359" s="188">
        <f t="shared" si="778"/>
        <v>1455925.1284100001</v>
      </c>
      <c r="FP359" s="188">
        <f t="shared" si="778"/>
        <v>0</v>
      </c>
      <c r="FQ359" s="188">
        <f t="shared" si="778"/>
        <v>0</v>
      </c>
      <c r="FR359" s="188">
        <f t="shared" si="778"/>
        <v>1455925.1284100001</v>
      </c>
      <c r="FS359" s="188">
        <f>FU359+FW359+FY359</f>
        <v>410677.63962999999</v>
      </c>
      <c r="FT359" s="589">
        <f t="shared" si="763"/>
        <v>0.26941752774864647</v>
      </c>
      <c r="FU359" s="188">
        <f>FU211+FU288</f>
        <v>0</v>
      </c>
      <c r="FV359" s="589">
        <v>0</v>
      </c>
      <c r="FW359" s="188">
        <f>FW211+FW288</f>
        <v>0</v>
      </c>
      <c r="FX359" s="589">
        <v>0</v>
      </c>
      <c r="FY359" s="148">
        <f>FY211+FY288</f>
        <v>410677.63962999999</v>
      </c>
      <c r="FZ359" s="674"/>
      <c r="GA359" s="188">
        <f>GC359+GE359+GG359</f>
        <v>410677.63962999999</v>
      </c>
      <c r="GB359" s="589">
        <f t="shared" si="756"/>
        <v>0.26941752774864647</v>
      </c>
      <c r="GC359" s="147">
        <v>0</v>
      </c>
      <c r="GD359" s="589">
        <v>0</v>
      </c>
      <c r="GE359" s="148">
        <f>GE211+GE288</f>
        <v>0</v>
      </c>
      <c r="GF359" s="589">
        <v>0</v>
      </c>
      <c r="GG359" s="148">
        <f>GG211+GG288</f>
        <v>410677.63962999999</v>
      </c>
      <c r="GH359" s="589">
        <f>GG359/FF359</f>
        <v>0.26941752774864647</v>
      </c>
      <c r="GI359" s="147">
        <f>GK359+GM359+GO359</f>
        <v>1515490.6846600003</v>
      </c>
      <c r="GJ359" s="589">
        <f t="shared" si="658"/>
        <v>0.99420984778976151</v>
      </c>
      <c r="GK359" s="147">
        <v>0</v>
      </c>
      <c r="GL359" s="589">
        <v>0</v>
      </c>
      <c r="GM359" s="147">
        <f>GM211+GM288</f>
        <v>0</v>
      </c>
      <c r="GN359" s="589">
        <v>0</v>
      </c>
      <c r="GO359" s="147">
        <f>GO211+GO288</f>
        <v>1515490.6846600003</v>
      </c>
      <c r="GP359" s="589">
        <f>GO359/FF359</f>
        <v>0.99420984778976151</v>
      </c>
      <c r="GQ359" s="189"/>
      <c r="GR359" s="189"/>
      <c r="GS359" s="189"/>
      <c r="GT359" s="189"/>
      <c r="GU359" s="189">
        <f>GU211+GU288</f>
        <v>1270260.6470000001</v>
      </c>
      <c r="GV359" s="189">
        <f>GV211+GV288</f>
        <v>0</v>
      </c>
      <c r="GW359" s="189">
        <f>GW211+GW288</f>
        <v>0</v>
      </c>
      <c r="GX359" s="189">
        <f>GX211+GX288</f>
        <v>1270260.6470000001</v>
      </c>
      <c r="GY359" s="189"/>
      <c r="GZ359" s="189"/>
      <c r="HA359" s="189"/>
      <c r="HB359" s="189"/>
      <c r="HC359" s="189"/>
      <c r="HD359" s="189"/>
      <c r="HE359" s="189"/>
      <c r="HF359" s="189"/>
      <c r="HG359" s="189">
        <f t="shared" ref="HG359:ID359" si="779">HG211+HG288</f>
        <v>77905.531750000009</v>
      </c>
      <c r="HH359" s="189">
        <f t="shared" si="779"/>
        <v>0</v>
      </c>
      <c r="HI359" s="189">
        <f t="shared" si="779"/>
        <v>0</v>
      </c>
      <c r="HJ359" s="189">
        <f t="shared" si="779"/>
        <v>77905.531750000009</v>
      </c>
      <c r="HK359" s="189">
        <f t="shared" si="779"/>
        <v>0</v>
      </c>
      <c r="HL359" s="189">
        <f t="shared" si="779"/>
        <v>0</v>
      </c>
      <c r="HM359" s="189">
        <f t="shared" si="779"/>
        <v>0</v>
      </c>
      <c r="HN359" s="336">
        <f t="shared" si="779"/>
        <v>0</v>
      </c>
      <c r="HO359" s="336">
        <f t="shared" si="779"/>
        <v>1348166.17875</v>
      </c>
      <c r="HP359" s="189">
        <f t="shared" si="779"/>
        <v>0</v>
      </c>
      <c r="HQ359" s="189">
        <f t="shared" si="779"/>
        <v>0</v>
      </c>
      <c r="HR359" s="189">
        <f t="shared" si="779"/>
        <v>1348166.17875</v>
      </c>
      <c r="HS359" s="189">
        <f t="shared" si="779"/>
        <v>853781.06299999997</v>
      </c>
      <c r="HT359" s="189">
        <f t="shared" si="779"/>
        <v>0</v>
      </c>
      <c r="HU359" s="189">
        <f t="shared" si="779"/>
        <v>0</v>
      </c>
      <c r="HV359" s="189">
        <f t="shared" si="779"/>
        <v>853781.06299999997</v>
      </c>
      <c r="HW359" s="189">
        <f t="shared" si="779"/>
        <v>0</v>
      </c>
      <c r="HX359" s="189">
        <f t="shared" si="779"/>
        <v>0</v>
      </c>
      <c r="HY359" s="189">
        <f t="shared" si="779"/>
        <v>0</v>
      </c>
      <c r="HZ359" s="189">
        <f t="shared" si="779"/>
        <v>0</v>
      </c>
      <c r="IA359" s="189">
        <f t="shared" si="779"/>
        <v>853781.06299999997</v>
      </c>
      <c r="IB359" s="189">
        <f t="shared" si="779"/>
        <v>0</v>
      </c>
      <c r="IC359" s="189">
        <f t="shared" si="779"/>
        <v>0</v>
      </c>
      <c r="ID359" s="189">
        <f t="shared" si="779"/>
        <v>853781.06299999997</v>
      </c>
      <c r="IE359" s="571"/>
      <c r="IF359" s="193"/>
      <c r="IG359" s="193"/>
      <c r="IH359" s="193"/>
      <c r="II359" s="337"/>
      <c r="IJ359" s="337"/>
      <c r="IK359" s="337"/>
      <c r="IL359" s="337"/>
      <c r="IM359" s="337"/>
      <c r="IN359" s="337"/>
      <c r="IO359" s="337"/>
    </row>
    <row r="360" spans="1:249" s="130" customFormat="1" ht="56.25" customHeight="1" x14ac:dyDescent="0.3">
      <c r="B360" s="742" t="s">
        <v>421</v>
      </c>
      <c r="C360" s="743"/>
      <c r="D360" s="743"/>
      <c r="E360" s="743"/>
      <c r="F360" s="743"/>
      <c r="G360" s="743"/>
      <c r="H360" s="743"/>
      <c r="I360" s="743"/>
      <c r="J360" s="743"/>
      <c r="K360" s="743"/>
      <c r="L360" s="743"/>
      <c r="M360" s="743"/>
      <c r="N360" s="743"/>
      <c r="O360" s="743"/>
      <c r="P360" s="743"/>
      <c r="Q360" s="743"/>
      <c r="R360" s="743"/>
      <c r="S360" s="743"/>
      <c r="T360" s="743"/>
      <c r="U360" s="743"/>
      <c r="V360" s="743"/>
      <c r="W360" s="743"/>
      <c r="X360" s="743"/>
      <c r="Y360" s="743"/>
      <c r="Z360" s="743"/>
      <c r="AA360" s="743"/>
      <c r="AB360" s="743"/>
      <c r="AC360" s="743"/>
      <c r="AD360" s="743"/>
      <c r="AE360" s="743"/>
      <c r="AF360" s="743"/>
      <c r="AG360" s="743"/>
      <c r="AH360" s="743"/>
      <c r="AI360" s="743"/>
      <c r="AJ360" s="743"/>
      <c r="AK360" s="743"/>
      <c r="AL360" s="743"/>
      <c r="AM360" s="743"/>
      <c r="AN360" s="743"/>
      <c r="AO360" s="743"/>
      <c r="AP360" s="743"/>
      <c r="AQ360" s="743"/>
      <c r="AR360" s="743"/>
      <c r="AS360" s="743"/>
      <c r="AT360" s="743"/>
      <c r="AU360" s="743"/>
      <c r="AV360" s="743"/>
      <c r="AW360" s="743"/>
      <c r="AX360" s="743"/>
      <c r="AY360" s="743"/>
      <c r="AZ360" s="743"/>
      <c r="BA360" s="743"/>
      <c r="BB360" s="743"/>
      <c r="BC360" s="743"/>
      <c r="BD360" s="743"/>
      <c r="BE360" s="743"/>
      <c r="BF360" s="743"/>
      <c r="BG360" s="743"/>
      <c r="BH360" s="743"/>
      <c r="BI360" s="743"/>
      <c r="BJ360" s="743"/>
      <c r="BK360" s="743"/>
      <c r="BL360" s="743"/>
      <c r="BM360" s="743"/>
      <c r="BN360" s="743"/>
      <c r="BO360" s="743"/>
      <c r="BP360" s="743"/>
      <c r="BQ360" s="743"/>
      <c r="BR360" s="743"/>
      <c r="BS360" s="743"/>
      <c r="BT360" s="743"/>
      <c r="BU360" s="743"/>
      <c r="BV360" s="743"/>
      <c r="BW360" s="743"/>
      <c r="BX360" s="743"/>
      <c r="BY360" s="743"/>
      <c r="BZ360" s="743"/>
      <c r="CA360" s="743"/>
      <c r="CB360" s="743"/>
      <c r="CC360" s="743"/>
      <c r="CD360" s="743"/>
      <c r="CE360" s="743"/>
      <c r="CF360" s="743"/>
      <c r="CG360" s="743"/>
      <c r="CH360" s="743"/>
      <c r="CI360" s="743"/>
      <c r="CJ360" s="743"/>
      <c r="CK360" s="743"/>
      <c r="CL360" s="743"/>
      <c r="CM360" s="743"/>
      <c r="CN360" s="743"/>
      <c r="CO360" s="743"/>
      <c r="CP360" s="743"/>
      <c r="CQ360" s="743"/>
      <c r="CR360" s="743"/>
      <c r="CS360" s="743"/>
      <c r="CT360" s="743"/>
      <c r="CU360" s="743"/>
      <c r="CV360" s="743"/>
      <c r="CW360" s="743"/>
      <c r="CX360" s="743"/>
      <c r="CY360" s="743"/>
      <c r="CZ360" s="743"/>
      <c r="DA360" s="743"/>
      <c r="DB360" s="743"/>
      <c r="DC360" s="743"/>
      <c r="DD360" s="743"/>
      <c r="DE360" s="743"/>
      <c r="DF360" s="743"/>
      <c r="DG360" s="743"/>
      <c r="DH360" s="743"/>
      <c r="DI360" s="743"/>
      <c r="DJ360" s="743"/>
      <c r="DK360" s="743"/>
      <c r="DL360" s="743"/>
      <c r="DM360" s="743"/>
      <c r="DN360" s="743"/>
      <c r="DO360" s="743"/>
      <c r="DP360" s="743"/>
      <c r="DQ360" s="743"/>
      <c r="DR360" s="743"/>
      <c r="DS360" s="743"/>
      <c r="DT360" s="743"/>
      <c r="DU360" s="743"/>
      <c r="DV360" s="743"/>
      <c r="DW360" s="743"/>
      <c r="DX360" s="743"/>
      <c r="DY360" s="743"/>
      <c r="DZ360" s="743"/>
      <c r="EA360" s="743"/>
      <c r="EB360" s="743"/>
      <c r="EC360" s="743"/>
      <c r="ED360" s="743"/>
      <c r="EE360" s="743"/>
      <c r="EF360" s="743"/>
      <c r="EG360" s="743"/>
      <c r="EH360" s="743"/>
      <c r="EI360" s="743"/>
      <c r="EJ360" s="743"/>
      <c r="EK360" s="743"/>
      <c r="EL360" s="743"/>
      <c r="EM360" s="743"/>
      <c r="EN360" s="743"/>
      <c r="EO360" s="743"/>
      <c r="EP360" s="743"/>
      <c r="EQ360" s="743"/>
      <c r="ER360" s="743"/>
      <c r="ES360" s="743"/>
      <c r="ET360" s="743"/>
      <c r="EU360" s="743"/>
      <c r="EV360" s="743"/>
      <c r="EW360" s="743"/>
      <c r="EX360" s="743"/>
      <c r="EY360" s="743"/>
      <c r="EZ360" s="743"/>
      <c r="FA360" s="743"/>
      <c r="FB360" s="743"/>
      <c r="FC360" s="743"/>
      <c r="FD360" s="743"/>
      <c r="FE360" s="743"/>
      <c r="FF360" s="743"/>
      <c r="FG360" s="743"/>
      <c r="FH360" s="743"/>
      <c r="FI360" s="743"/>
      <c r="FJ360" s="743"/>
      <c r="FK360" s="743"/>
      <c r="FL360" s="743"/>
      <c r="FM360" s="743"/>
      <c r="FN360" s="743"/>
      <c r="FO360" s="743"/>
      <c r="FP360" s="743"/>
      <c r="FQ360" s="743"/>
      <c r="FR360" s="743"/>
      <c r="FS360" s="743"/>
      <c r="FT360" s="743"/>
      <c r="FU360" s="743"/>
      <c r="FV360" s="743"/>
      <c r="FW360" s="743"/>
      <c r="FX360" s="743"/>
      <c r="FY360" s="743"/>
      <c r="FZ360" s="743"/>
      <c r="GA360" s="743"/>
      <c r="GB360" s="743"/>
      <c r="GC360" s="743"/>
      <c r="GD360" s="743"/>
      <c r="GE360" s="743"/>
      <c r="GF360" s="743"/>
      <c r="GG360" s="743"/>
      <c r="GH360" s="743"/>
      <c r="GI360" s="743"/>
      <c r="GJ360" s="743"/>
      <c r="GK360" s="743"/>
      <c r="GL360" s="743"/>
      <c r="GM360" s="743"/>
      <c r="GN360" s="743"/>
      <c r="GO360" s="743"/>
      <c r="GP360" s="743"/>
      <c r="GQ360" s="743"/>
      <c r="GR360" s="743"/>
      <c r="GS360" s="743"/>
      <c r="GT360" s="743"/>
      <c r="GU360" s="743"/>
      <c r="GV360" s="743"/>
      <c r="GW360" s="743"/>
      <c r="GX360" s="743"/>
      <c r="GY360" s="743"/>
      <c r="GZ360" s="743"/>
      <c r="HA360" s="743"/>
      <c r="HB360" s="743"/>
      <c r="HC360" s="743"/>
      <c r="HD360" s="743"/>
      <c r="HE360" s="743"/>
      <c r="HF360" s="743"/>
      <c r="HG360" s="743"/>
      <c r="HH360" s="743"/>
      <c r="HI360" s="743"/>
      <c r="HJ360" s="743"/>
      <c r="HK360" s="743"/>
      <c r="HL360" s="743"/>
      <c r="HM360" s="743"/>
      <c r="HN360" s="743"/>
      <c r="HO360" s="743"/>
      <c r="HP360" s="743"/>
      <c r="HQ360" s="743"/>
      <c r="HR360" s="743"/>
      <c r="HS360" s="744"/>
      <c r="HT360" s="744"/>
      <c r="HU360" s="744"/>
      <c r="HV360" s="744"/>
      <c r="HW360" s="744"/>
      <c r="HX360" s="744"/>
      <c r="HY360" s="744"/>
      <c r="HZ360" s="744"/>
      <c r="IA360" s="744"/>
      <c r="IB360" s="744"/>
      <c r="IC360" s="744"/>
      <c r="ID360" s="744"/>
      <c r="IE360" s="745"/>
      <c r="IF360" s="339"/>
      <c r="IG360" s="339"/>
      <c r="IH360" s="339"/>
      <c r="II360" s="129"/>
      <c r="IJ360" s="129"/>
      <c r="IK360" s="129"/>
      <c r="IL360" s="129"/>
      <c r="IM360" s="129"/>
      <c r="IN360" s="129"/>
      <c r="IO360" s="129"/>
    </row>
    <row r="361" spans="1:249" s="300" customFormat="1" ht="103.5" customHeight="1" x14ac:dyDescent="0.3">
      <c r="B361" s="340" t="s">
        <v>484</v>
      </c>
      <c r="C361" s="341" t="s">
        <v>422</v>
      </c>
      <c r="D361" s="342" t="s">
        <v>423</v>
      </c>
      <c r="E361" s="343" t="e">
        <f>E364</f>
        <v>#REF!</v>
      </c>
      <c r="F361" s="343"/>
      <c r="G361" s="343" t="e">
        <f>G364</f>
        <v>#REF!</v>
      </c>
      <c r="H361" s="343" t="e">
        <f>H364</f>
        <v>#REF!</v>
      </c>
      <c r="I361" s="343"/>
      <c r="J361" s="343" t="e">
        <f>J364</f>
        <v>#REF!</v>
      </c>
      <c r="K361" s="343" t="e">
        <f>K364</f>
        <v>#REF!</v>
      </c>
      <c r="L361" s="343"/>
      <c r="M361" s="343" t="e">
        <f>M364</f>
        <v>#REF!</v>
      </c>
      <c r="N361" s="343" t="e">
        <f>N364</f>
        <v>#REF!</v>
      </c>
      <c r="O361" s="343"/>
      <c r="P361" s="343" t="e">
        <f>P364</f>
        <v>#REF!</v>
      </c>
      <c r="Q361" s="264" t="e">
        <f>Q364</f>
        <v>#REF!</v>
      </c>
      <c r="R361" s="264"/>
      <c r="S361" s="264" t="e">
        <f>S364</f>
        <v>#REF!</v>
      </c>
      <c r="T361" s="264" t="e">
        <f>T364</f>
        <v>#REF!</v>
      </c>
      <c r="U361" s="264"/>
      <c r="V361" s="264" t="e">
        <f>V364</f>
        <v>#REF!</v>
      </c>
      <c r="W361" s="264" t="e">
        <f>W364</f>
        <v>#REF!</v>
      </c>
      <c r="X361" s="264"/>
      <c r="Y361" s="264" t="e">
        <f>Y364</f>
        <v>#REF!</v>
      </c>
      <c r="Z361" s="264">
        <f>Z364</f>
        <v>248753.6</v>
      </c>
      <c r="AA361" s="264"/>
      <c r="AB361" s="264">
        <f>AB364</f>
        <v>248753.6</v>
      </c>
      <c r="AC361" s="264">
        <f>AC364</f>
        <v>0</v>
      </c>
      <c r="AD361" s="264"/>
      <c r="AE361" s="264">
        <f>AE364</f>
        <v>0</v>
      </c>
      <c r="AF361" s="264" t="e">
        <f>AF364</f>
        <v>#REF!</v>
      </c>
      <c r="AG361" s="264"/>
      <c r="AH361" s="264" t="e">
        <f>AH364</f>
        <v>#REF!</v>
      </c>
      <c r="AI361" s="264">
        <v>0</v>
      </c>
      <c r="AJ361" s="264" t="e">
        <f>AJ364</f>
        <v>#REF!</v>
      </c>
      <c r="AK361" s="264" t="e">
        <f>Z361-AJ361</f>
        <v>#REF!</v>
      </c>
      <c r="AL361" s="264" t="e">
        <f>AF361-AJ361</f>
        <v>#REF!</v>
      </c>
      <c r="AM361" s="766" t="s">
        <v>424</v>
      </c>
      <c r="AN361" s="766" t="s">
        <v>424</v>
      </c>
      <c r="AO361" s="344">
        <v>1</v>
      </c>
      <c r="AP361" s="297"/>
      <c r="AQ361" s="297"/>
      <c r="AR361" s="264" t="e">
        <f t="shared" ref="AR361:CD361" si="780">AR364</f>
        <v>#REF!</v>
      </c>
      <c r="AS361" s="264">
        <f t="shared" si="780"/>
        <v>100000</v>
      </c>
      <c r="AT361" s="264" t="e">
        <f t="shared" si="780"/>
        <v>#REF!</v>
      </c>
      <c r="AU361" s="264">
        <f t="shared" si="780"/>
        <v>100000</v>
      </c>
      <c r="AV361" s="264" t="e">
        <f t="shared" si="780"/>
        <v>#REF!</v>
      </c>
      <c r="AW361" s="264">
        <f t="shared" si="780"/>
        <v>0</v>
      </c>
      <c r="AX361" s="264" t="e">
        <f t="shared" si="780"/>
        <v>#REF!</v>
      </c>
      <c r="AY361" s="264" t="e">
        <f t="shared" si="780"/>
        <v>#REF!</v>
      </c>
      <c r="AZ361" s="264" t="e">
        <f t="shared" si="780"/>
        <v>#REF!</v>
      </c>
      <c r="BA361" s="264" t="e">
        <f t="shared" si="780"/>
        <v>#REF!</v>
      </c>
      <c r="BB361" s="264" t="e">
        <f t="shared" si="780"/>
        <v>#REF!</v>
      </c>
      <c r="BC361" s="264">
        <f t="shared" si="780"/>
        <v>0</v>
      </c>
      <c r="BD361" s="264" t="e">
        <f t="shared" si="780"/>
        <v>#REF!</v>
      </c>
      <c r="BE361" s="264" t="e">
        <f t="shared" si="780"/>
        <v>#REF!</v>
      </c>
      <c r="BF361" s="264">
        <f t="shared" si="780"/>
        <v>0</v>
      </c>
      <c r="BG361" s="264" t="e">
        <f t="shared" si="780"/>
        <v>#REF!</v>
      </c>
      <c r="BH361" s="264" t="e">
        <f t="shared" si="780"/>
        <v>#REF!</v>
      </c>
      <c r="BI361" s="264" t="e">
        <f t="shared" si="780"/>
        <v>#REF!</v>
      </c>
      <c r="BJ361" s="264" t="e">
        <f t="shared" si="780"/>
        <v>#REF!</v>
      </c>
      <c r="BK361" s="264">
        <f t="shared" si="780"/>
        <v>1</v>
      </c>
      <c r="BL361" s="264" t="e">
        <f t="shared" si="780"/>
        <v>#REF!</v>
      </c>
      <c r="BM361" s="264">
        <f t="shared" si="780"/>
        <v>0</v>
      </c>
      <c r="BN361" s="264">
        <f t="shared" si="780"/>
        <v>0</v>
      </c>
      <c r="BO361" s="264">
        <f t="shared" si="780"/>
        <v>0</v>
      </c>
      <c r="BP361" s="264">
        <f t="shared" si="780"/>
        <v>0</v>
      </c>
      <c r="BQ361" s="264">
        <f t="shared" si="780"/>
        <v>0</v>
      </c>
      <c r="BR361" s="264">
        <f t="shared" si="780"/>
        <v>0</v>
      </c>
      <c r="BS361" s="264" t="e">
        <f t="shared" si="780"/>
        <v>#REF!</v>
      </c>
      <c r="BT361" s="264">
        <f t="shared" si="780"/>
        <v>0</v>
      </c>
      <c r="BU361" s="264" t="e">
        <f t="shared" si="780"/>
        <v>#REF!</v>
      </c>
      <c r="BV361" s="264" t="e">
        <f t="shared" si="780"/>
        <v>#REF!</v>
      </c>
      <c r="BW361" s="264">
        <f t="shared" si="780"/>
        <v>0</v>
      </c>
      <c r="BX361" s="264" t="e">
        <f t="shared" si="780"/>
        <v>#REF!</v>
      </c>
      <c r="BY361" s="264" t="e">
        <f t="shared" si="780"/>
        <v>#REF!</v>
      </c>
      <c r="BZ361" s="264">
        <f t="shared" si="780"/>
        <v>0</v>
      </c>
      <c r="CA361" s="264" t="e">
        <f t="shared" si="780"/>
        <v>#REF!</v>
      </c>
      <c r="CB361" s="264" t="e">
        <f t="shared" si="780"/>
        <v>#REF!</v>
      </c>
      <c r="CC361" s="264">
        <f t="shared" si="780"/>
        <v>0</v>
      </c>
      <c r="CD361" s="264" t="e">
        <f t="shared" si="780"/>
        <v>#REF!</v>
      </c>
      <c r="CE361" s="296">
        <v>1</v>
      </c>
      <c r="CF361" s="296" t="e">
        <f>BX361</f>
        <v>#REF!</v>
      </c>
      <c r="CG361" s="264"/>
      <c r="CH361" s="264">
        <f t="shared" ref="CH361:DB361" si="781">CH364</f>
        <v>100000</v>
      </c>
      <c r="CI361" s="264" t="e">
        <f t="shared" si="781"/>
        <v>#REF!</v>
      </c>
      <c r="CJ361" s="264">
        <f t="shared" si="781"/>
        <v>100000</v>
      </c>
      <c r="CK361" s="264">
        <f t="shared" si="781"/>
        <v>0</v>
      </c>
      <c r="CL361" s="264">
        <f t="shared" si="781"/>
        <v>0</v>
      </c>
      <c r="CM361" s="264">
        <f t="shared" si="781"/>
        <v>0</v>
      </c>
      <c r="CN361" s="264">
        <f t="shared" si="781"/>
        <v>0</v>
      </c>
      <c r="CO361" s="264">
        <f t="shared" si="781"/>
        <v>0</v>
      </c>
      <c r="CP361" s="264">
        <f t="shared" si="781"/>
        <v>0</v>
      </c>
      <c r="CQ361" s="264">
        <f t="shared" si="781"/>
        <v>100000</v>
      </c>
      <c r="CR361" s="264" t="e">
        <f t="shared" si="781"/>
        <v>#REF!</v>
      </c>
      <c r="CS361" s="264">
        <f t="shared" si="781"/>
        <v>100000</v>
      </c>
      <c r="CT361" s="264" t="e">
        <f t="shared" si="781"/>
        <v>#REF!</v>
      </c>
      <c r="CU361" s="264">
        <f t="shared" si="781"/>
        <v>0</v>
      </c>
      <c r="CV361" s="264" t="e">
        <f t="shared" si="781"/>
        <v>#REF!</v>
      </c>
      <c r="CW361" s="264" t="e">
        <f t="shared" si="781"/>
        <v>#REF!</v>
      </c>
      <c r="CX361" s="264">
        <f t="shared" si="781"/>
        <v>0</v>
      </c>
      <c r="CY361" s="264" t="e">
        <f t="shared" si="781"/>
        <v>#REF!</v>
      </c>
      <c r="CZ361" s="264" t="e">
        <f t="shared" si="781"/>
        <v>#REF!</v>
      </c>
      <c r="DA361" s="264">
        <f t="shared" si="781"/>
        <v>0</v>
      </c>
      <c r="DB361" s="264" t="e">
        <f t="shared" si="781"/>
        <v>#REF!</v>
      </c>
      <c r="DC361" s="264">
        <f>DD361+DE361</f>
        <v>0</v>
      </c>
      <c r="DD361" s="264"/>
      <c r="DE361" s="264">
        <f>DE364</f>
        <v>0</v>
      </c>
      <c r="DF361" s="264" t="e">
        <f>DG361+DH361</f>
        <v>#REF!</v>
      </c>
      <c r="DG361" s="264">
        <v>0</v>
      </c>
      <c r="DH361" s="264" t="e">
        <f>DH364</f>
        <v>#REF!</v>
      </c>
      <c r="DI361" s="264" t="e">
        <f>DJ361+DK361</f>
        <v>#REF!</v>
      </c>
      <c r="DJ361" s="264">
        <v>0</v>
      </c>
      <c r="DK361" s="264" t="e">
        <f>DK364</f>
        <v>#REF!</v>
      </c>
      <c r="DL361" s="264" t="e">
        <f>DM361+DN361</f>
        <v>#REF!</v>
      </c>
      <c r="DM361" s="264">
        <v>0</v>
      </c>
      <c r="DN361" s="264" t="e">
        <f>DN364</f>
        <v>#REF!</v>
      </c>
      <c r="DO361" s="264" t="e">
        <f>DP361+DQ361</f>
        <v>#REF!</v>
      </c>
      <c r="DP361" s="264">
        <v>0</v>
      </c>
      <c r="DQ361" s="264" t="e">
        <f>DQ364</f>
        <v>#REF!</v>
      </c>
      <c r="DR361" s="264" t="e">
        <f>DS361+DT361</f>
        <v>#REF!</v>
      </c>
      <c r="DS361" s="264">
        <v>0</v>
      </c>
      <c r="DT361" s="264" t="e">
        <f t="shared" ref="DT361:EC361" si="782">DT364</f>
        <v>#REF!</v>
      </c>
      <c r="DU361" s="264">
        <f t="shared" si="782"/>
        <v>100000</v>
      </c>
      <c r="DV361" s="264">
        <f t="shared" si="782"/>
        <v>0</v>
      </c>
      <c r="DW361" s="264">
        <f t="shared" si="782"/>
        <v>100000</v>
      </c>
      <c r="DX361" s="264" t="e">
        <f t="shared" si="782"/>
        <v>#REF!</v>
      </c>
      <c r="DY361" s="264">
        <f t="shared" si="782"/>
        <v>0</v>
      </c>
      <c r="DZ361" s="264" t="e">
        <f t="shared" si="782"/>
        <v>#REF!</v>
      </c>
      <c r="EA361" s="264">
        <f t="shared" si="782"/>
        <v>0</v>
      </c>
      <c r="EB361" s="264">
        <f t="shared" si="782"/>
        <v>0</v>
      </c>
      <c r="EC361" s="264">
        <f t="shared" si="782"/>
        <v>0</v>
      </c>
      <c r="ED361" s="264">
        <f>EE361+EF361</f>
        <v>-100000</v>
      </c>
      <c r="EE361" s="264">
        <f>EE364+EE377</f>
        <v>0</v>
      </c>
      <c r="EF361" s="264">
        <f>EF364+EF377</f>
        <v>-100000</v>
      </c>
      <c r="EG361" s="264">
        <f>EH361+EI361+EJ361</f>
        <v>430171.40281999996</v>
      </c>
      <c r="EH361" s="264">
        <f>EH362+EH363</f>
        <v>359273.3</v>
      </c>
      <c r="EI361" s="264">
        <f>EI362+EI363</f>
        <v>0</v>
      </c>
      <c r="EJ361" s="264">
        <f>EJ362+EJ363</f>
        <v>70898.10282</v>
      </c>
      <c r="EK361" s="264">
        <f>EL361+EM361+EN361</f>
        <v>-67398.10282</v>
      </c>
      <c r="EL361" s="264">
        <f>EL362+EL363</f>
        <v>0</v>
      </c>
      <c r="EM361" s="264">
        <f>EM362+EM363</f>
        <v>0</v>
      </c>
      <c r="EN361" s="264">
        <f>EN362+EN363</f>
        <v>-67398.10282</v>
      </c>
      <c r="EO361" s="264">
        <f>EP361+ER361</f>
        <v>0</v>
      </c>
      <c r="EP361" s="264">
        <f>EP364+EP377</f>
        <v>0</v>
      </c>
      <c r="EQ361" s="264"/>
      <c r="ER361" s="264">
        <f>ER364+ER377</f>
        <v>0</v>
      </c>
      <c r="ES361" s="264">
        <f>ET361+EU361+EV361</f>
        <v>3500</v>
      </c>
      <c r="ET361" s="264">
        <f>ET362+ET363</f>
        <v>0</v>
      </c>
      <c r="EU361" s="264">
        <f>EU362+EU363</f>
        <v>0</v>
      </c>
      <c r="EV361" s="264">
        <f>EV362+EV363</f>
        <v>3500</v>
      </c>
      <c r="EW361" s="264" t="e">
        <f>EW364</f>
        <v>#REF!</v>
      </c>
      <c r="EX361" s="264">
        <f>EX364</f>
        <v>0</v>
      </c>
      <c r="EY361" s="264" t="e">
        <f>EY364</f>
        <v>#REF!</v>
      </c>
      <c r="EZ361" s="264">
        <f>EZ364+EZ377</f>
        <v>46390.272960000002</v>
      </c>
      <c r="FA361" s="264">
        <f>FA364+FA377</f>
        <v>46390.272960000002</v>
      </c>
      <c r="FB361" s="264">
        <f>FB364+FB377</f>
        <v>0</v>
      </c>
      <c r="FC361" s="343">
        <f>FD361+FE361+FF361</f>
        <v>119360.40702000001</v>
      </c>
      <c r="FD361" s="343">
        <f>FD362+FD363</f>
        <v>46390.272960000002</v>
      </c>
      <c r="FE361" s="343">
        <f>FE362+FE363</f>
        <v>0</v>
      </c>
      <c r="FF361" s="343">
        <f>FF362+FF363</f>
        <v>72970.134060000011</v>
      </c>
      <c r="FG361" s="343">
        <f>FH361+FI361+FJ361</f>
        <v>4793.6494199999988</v>
      </c>
      <c r="FH361" s="343">
        <f>FH362+FH363</f>
        <v>4793.6494199999988</v>
      </c>
      <c r="FI361" s="343">
        <f>FI362+FI363</f>
        <v>0</v>
      </c>
      <c r="FJ361" s="343">
        <f>FJ362+FJ363</f>
        <v>0</v>
      </c>
      <c r="FK361" s="343" t="e">
        <f>FL361+FM361+FN361</f>
        <v>#REF!</v>
      </c>
      <c r="FL361" s="343">
        <f>FL364+FL377</f>
        <v>0</v>
      </c>
      <c r="FM361" s="343"/>
      <c r="FN361" s="343" t="e">
        <f>FN364+FN371</f>
        <v>#REF!</v>
      </c>
      <c r="FO361" s="343">
        <f>FP361+FQ361+FR361</f>
        <v>124154.05644000001</v>
      </c>
      <c r="FP361" s="343">
        <f>FP362+FP363</f>
        <v>51183.922380000004</v>
      </c>
      <c r="FQ361" s="343">
        <f>FQ362+FQ363</f>
        <v>0</v>
      </c>
      <c r="FR361" s="343">
        <f>FR362+FR363</f>
        <v>72970.134060000011</v>
      </c>
      <c r="FS361" s="343">
        <f>FU361+FW361+FY361</f>
        <v>59386.95392</v>
      </c>
      <c r="FT361" s="576">
        <f>FS361/FC361</f>
        <v>0.49754315859570697</v>
      </c>
      <c r="FU361" s="343">
        <f>FU362+FU363</f>
        <v>12001.54895</v>
      </c>
      <c r="FV361" s="576">
        <f>FU361/FD361</f>
        <v>0.25870830638026926</v>
      </c>
      <c r="FW361" s="264"/>
      <c r="FX361" s="264"/>
      <c r="FY361" s="343">
        <f>FY362+FY363</f>
        <v>47385.404970000003</v>
      </c>
      <c r="FZ361" s="576">
        <f>FY361/FF361</f>
        <v>0.6493808128547105</v>
      </c>
      <c r="GA361" s="343">
        <f>GC361+GE361+GG361</f>
        <v>56179.344820000006</v>
      </c>
      <c r="GB361" s="576">
        <f>GA361/FC361</f>
        <v>0.4706698495975018</v>
      </c>
      <c r="GC361" s="343">
        <f>GC362+GC363</f>
        <v>8793.9398500000007</v>
      </c>
      <c r="GD361" s="343"/>
      <c r="GE361" s="264">
        <f>GE362+GE363</f>
        <v>0</v>
      </c>
      <c r="GF361" s="343"/>
      <c r="GG361" s="343">
        <f>GG362+GG363</f>
        <v>47385.404970000003</v>
      </c>
      <c r="GH361" s="576">
        <f>GG361/FF361</f>
        <v>0.6493808128547105</v>
      </c>
      <c r="GI361" s="343">
        <f>GK361+GM361+GO361</f>
        <v>110198.40702000001</v>
      </c>
      <c r="GJ361" s="576">
        <f>GI361/FC361</f>
        <v>0.92324087837213209</v>
      </c>
      <c r="GK361" s="343">
        <f>GK362+GK363</f>
        <v>37228.272960000002</v>
      </c>
      <c r="GL361" s="576">
        <f>GK361/FD361</f>
        <v>0.80250170099451812</v>
      </c>
      <c r="GM361" s="343"/>
      <c r="GN361" s="343"/>
      <c r="GO361" s="343">
        <f>GO362+GO363</f>
        <v>72970.134060000011</v>
      </c>
      <c r="GP361" s="576">
        <f>GO361/FF361</f>
        <v>1</v>
      </c>
      <c r="GQ361" s="343"/>
      <c r="GR361" s="343"/>
      <c r="GS361" s="343"/>
      <c r="GT361" s="343"/>
      <c r="GU361" s="343">
        <f>GV361+GW361+GX361</f>
        <v>313794.37217999995</v>
      </c>
      <c r="GV361" s="343">
        <f>GV362+GV363</f>
        <v>135552.56299999999</v>
      </c>
      <c r="GW361" s="343">
        <f>GW362+GW363</f>
        <v>0</v>
      </c>
      <c r="GX361" s="343">
        <f>GX362+GX363</f>
        <v>178241.80917999998</v>
      </c>
      <c r="GY361" s="343"/>
      <c r="GZ361" s="343"/>
      <c r="HA361" s="343"/>
      <c r="HB361" s="343"/>
      <c r="HC361" s="343"/>
      <c r="HD361" s="343"/>
      <c r="HE361" s="343"/>
      <c r="HF361" s="343"/>
      <c r="HG361" s="343">
        <f>HH361+HI361+HJ361</f>
        <v>-77905.531749999995</v>
      </c>
      <c r="HH361" s="343">
        <f>HH362+HH363</f>
        <v>0</v>
      </c>
      <c r="HI361" s="343">
        <f>HI362+HI363</f>
        <v>0</v>
      </c>
      <c r="HJ361" s="343">
        <f>HJ362+HJ363</f>
        <v>-77905.531749999995</v>
      </c>
      <c r="HK361" s="343" t="e">
        <f>HL361+HM361+HN361</f>
        <v>#REF!</v>
      </c>
      <c r="HL361" s="343" t="e">
        <f>HL362+HL363</f>
        <v>#REF!</v>
      </c>
      <c r="HM361" s="343">
        <f>HM362+HM363</f>
        <v>0</v>
      </c>
      <c r="HN361" s="343">
        <f>HN362+HN363</f>
        <v>0</v>
      </c>
      <c r="HO361" s="343">
        <f>HP361+HQ361+HR361</f>
        <v>235888.84042999998</v>
      </c>
      <c r="HP361" s="343">
        <f>HP362+HP363</f>
        <v>135552.56299999999</v>
      </c>
      <c r="HQ361" s="264">
        <f>HQ362+HQ363</f>
        <v>0</v>
      </c>
      <c r="HR361" s="343">
        <f>HR362+HR363</f>
        <v>100336.27743</v>
      </c>
      <c r="HS361" s="343">
        <f>HT361+HU361+HV361</f>
        <v>397301.62857</v>
      </c>
      <c r="HT361" s="264">
        <f>HT362+HT363</f>
        <v>0</v>
      </c>
      <c r="HU361" s="264">
        <f>HU362+HU363</f>
        <v>0</v>
      </c>
      <c r="HV361" s="343">
        <f>HV362+HV363</f>
        <v>397301.62857</v>
      </c>
      <c r="HW361" s="343">
        <f>HX361+HY361+HZ361</f>
        <v>0</v>
      </c>
      <c r="HX361" s="343">
        <f>HX362+HX363</f>
        <v>372392.68657000002</v>
      </c>
      <c r="HY361" s="343">
        <f>HY362+HY363</f>
        <v>0</v>
      </c>
      <c r="HZ361" s="343">
        <f>HZ362+HZ363</f>
        <v>-372392.68657000002</v>
      </c>
      <c r="IA361" s="343">
        <f>IB361+IC361+ID361</f>
        <v>397301.62857</v>
      </c>
      <c r="IB361" s="343">
        <f>IB362+IB363</f>
        <v>372392.68657000002</v>
      </c>
      <c r="IC361" s="343">
        <f>IC362+IC363</f>
        <v>0</v>
      </c>
      <c r="ID361" s="343">
        <f>ID362+ID363</f>
        <v>24908.941999999999</v>
      </c>
      <c r="IE361" s="321"/>
      <c r="IF361" s="345"/>
      <c r="IG361" s="345"/>
      <c r="IH361" s="345"/>
    </row>
    <row r="362" spans="1:249" s="202" customFormat="1" ht="45.75" customHeight="1" x14ac:dyDescent="0.25">
      <c r="B362" s="100"/>
      <c r="C362" s="101" t="s">
        <v>131</v>
      </c>
      <c r="D362" s="102"/>
      <c r="E362" s="103"/>
      <c r="F362" s="103"/>
      <c r="G362" s="103"/>
      <c r="H362" s="143"/>
      <c r="I362" s="103"/>
      <c r="J362" s="103"/>
      <c r="K362" s="103"/>
      <c r="L362" s="103"/>
      <c r="M362" s="103"/>
      <c r="N362" s="143"/>
      <c r="O362" s="103"/>
      <c r="P362" s="103"/>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766"/>
      <c r="AN362" s="766"/>
      <c r="AO362" s="109"/>
      <c r="AP362" s="105"/>
      <c r="AQ362" s="105"/>
      <c r="AR362" s="105"/>
      <c r="AS362" s="105"/>
      <c r="AT362" s="105"/>
      <c r="AU362" s="105"/>
      <c r="AV362" s="105"/>
      <c r="AW362" s="105"/>
      <c r="AX362" s="105"/>
      <c r="AY362" s="105"/>
      <c r="AZ362" s="105"/>
      <c r="BA362" s="105"/>
      <c r="BB362" s="105"/>
      <c r="BC362" s="105"/>
      <c r="BD362" s="105"/>
      <c r="BE362" s="105"/>
      <c r="BF362" s="105"/>
      <c r="BG362" s="105"/>
      <c r="BH362" s="105"/>
      <c r="BI362" s="105"/>
      <c r="BJ362" s="105"/>
      <c r="BK362" s="110"/>
      <c r="BL362" s="106"/>
      <c r="BM362" s="105"/>
      <c r="BN362" s="105"/>
      <c r="BO362" s="105"/>
      <c r="BP362" s="105"/>
      <c r="BQ362" s="105"/>
      <c r="BR362" s="105"/>
      <c r="BS362" s="105"/>
      <c r="BT362" s="105"/>
      <c r="BU362" s="105"/>
      <c r="BV362" s="105"/>
      <c r="BW362" s="105"/>
      <c r="BX362" s="105"/>
      <c r="BY362" s="105"/>
      <c r="BZ362" s="105"/>
      <c r="CA362" s="105"/>
      <c r="CB362" s="105"/>
      <c r="CC362" s="105"/>
      <c r="CD362" s="105"/>
      <c r="CE362" s="106"/>
      <c r="CF362" s="106"/>
      <c r="CG362" s="105"/>
      <c r="CH362" s="105"/>
      <c r="CI362" s="105"/>
      <c r="CJ362" s="105"/>
      <c r="CK362" s="105"/>
      <c r="CL362" s="105"/>
      <c r="CM362" s="105"/>
      <c r="CN362" s="105"/>
      <c r="CO362" s="105"/>
      <c r="CP362" s="105"/>
      <c r="CQ362" s="105"/>
      <c r="CR362" s="105"/>
      <c r="CS362" s="105"/>
      <c r="CT362" s="105"/>
      <c r="CU362" s="105"/>
      <c r="CV362" s="105"/>
      <c r="CW362" s="105"/>
      <c r="CX362" s="105"/>
      <c r="CY362" s="105"/>
      <c r="CZ362" s="105"/>
      <c r="DA362" s="105"/>
      <c r="DB362" s="105"/>
      <c r="DC362" s="105"/>
      <c r="DD362" s="105"/>
      <c r="DE362" s="105"/>
      <c r="DF362" s="105"/>
      <c r="DG362" s="105"/>
      <c r="DH362" s="105"/>
      <c r="DI362" s="105"/>
      <c r="DJ362" s="105"/>
      <c r="DK362" s="105"/>
      <c r="DL362" s="105"/>
      <c r="DM362" s="105"/>
      <c r="DN362" s="105"/>
      <c r="DO362" s="105"/>
      <c r="DP362" s="105"/>
      <c r="DQ362" s="105"/>
      <c r="DR362" s="105"/>
      <c r="DS362" s="105"/>
      <c r="DT362" s="105"/>
      <c r="DU362" s="105"/>
      <c r="DV362" s="105"/>
      <c r="DW362" s="105"/>
      <c r="DX362" s="105"/>
      <c r="DY362" s="105"/>
      <c r="DZ362" s="105"/>
      <c r="EA362" s="105"/>
      <c r="EB362" s="105"/>
      <c r="EC362" s="105"/>
      <c r="ED362" s="105"/>
      <c r="EE362" s="105"/>
      <c r="EF362" s="105"/>
      <c r="EG362" s="105">
        <f>EH362+EI362+EJ362</f>
        <v>268827.50281999999</v>
      </c>
      <c r="EH362" s="105">
        <f>EH364+EH376+EH377</f>
        <v>197929.4</v>
      </c>
      <c r="EI362" s="105">
        <f>EI364+EI376+EI377</f>
        <v>0</v>
      </c>
      <c r="EJ362" s="105">
        <f>EJ364+EJ376+EJ377</f>
        <v>70898.10282</v>
      </c>
      <c r="EK362" s="105">
        <f>EL362+EM362+EN362</f>
        <v>-67398.10282</v>
      </c>
      <c r="EL362" s="105">
        <f>EL364+EL376+EL377</f>
        <v>0</v>
      </c>
      <c r="EM362" s="105">
        <f>EM364+EM376+EM377</f>
        <v>0</v>
      </c>
      <c r="EN362" s="105">
        <f>EN364+EN376+EN377</f>
        <v>-67398.10282</v>
      </c>
      <c r="EO362" s="105"/>
      <c r="EP362" s="105"/>
      <c r="EQ362" s="105"/>
      <c r="ER362" s="105"/>
      <c r="ES362" s="105">
        <f>ET362+EU362+EV362</f>
        <v>3500</v>
      </c>
      <c r="ET362" s="105">
        <f>ET364+ET376+ET377</f>
        <v>0</v>
      </c>
      <c r="EU362" s="105">
        <f>EU364+EU376+EU377</f>
        <v>0</v>
      </c>
      <c r="EV362" s="105">
        <f>EV364+EV376+EV377</f>
        <v>3500</v>
      </c>
      <c r="EW362" s="105"/>
      <c r="EX362" s="105"/>
      <c r="EY362" s="105"/>
      <c r="EZ362" s="105"/>
      <c r="FA362" s="105"/>
      <c r="FB362" s="105"/>
      <c r="FC362" s="103">
        <f>FD362+FE362+FF362</f>
        <v>73587.607019999996</v>
      </c>
      <c r="FD362" s="103">
        <f>FD364+FD376+FD377</f>
        <v>46390.272960000002</v>
      </c>
      <c r="FE362" s="103">
        <f>FE364+FE376+FE377</f>
        <v>0</v>
      </c>
      <c r="FF362" s="103">
        <f>FF364+FF376+FF377</f>
        <v>27197.334060000001</v>
      </c>
      <c r="FG362" s="103">
        <f>FH362+FI362+FJ362</f>
        <v>4793.6494199999988</v>
      </c>
      <c r="FH362" s="103">
        <f>FH364+FH376+FH377</f>
        <v>4793.6494199999988</v>
      </c>
      <c r="FI362" s="103">
        <f>FI364+FI376+FI377</f>
        <v>0</v>
      </c>
      <c r="FJ362" s="103">
        <f>FJ364+FJ376+FJ377</f>
        <v>0</v>
      </c>
      <c r="FK362" s="103"/>
      <c r="FL362" s="103"/>
      <c r="FM362" s="103"/>
      <c r="FN362" s="103"/>
      <c r="FO362" s="103">
        <f>FP362+FQ362+FR362</f>
        <v>78381.256439999997</v>
      </c>
      <c r="FP362" s="103">
        <f>FP364+FP376+FP377</f>
        <v>51183.922380000004</v>
      </c>
      <c r="FQ362" s="103">
        <f>FQ364+FQ376+FQ377</f>
        <v>0</v>
      </c>
      <c r="FR362" s="103">
        <f>FR364+FR376+FR377</f>
        <v>27197.334060000001</v>
      </c>
      <c r="FS362" s="103">
        <f>FU362+FY362</f>
        <v>27638.732640000002</v>
      </c>
      <c r="FT362" s="580">
        <f t="shared" ref="FT362:FT363" si="783">FS362/FC362</f>
        <v>0.3755895015377822</v>
      </c>
      <c r="FU362" s="103">
        <f>FU364+FU376+FU377</f>
        <v>12001.54895</v>
      </c>
      <c r="FV362" s="580">
        <f t="shared" ref="FV362" si="784">FU362/FD362</f>
        <v>0.25870830638026926</v>
      </c>
      <c r="FW362" s="105"/>
      <c r="FX362" s="105"/>
      <c r="FY362" s="103">
        <f>FY364+FY376+FY377</f>
        <v>15637.18369</v>
      </c>
      <c r="FZ362" s="580">
        <f t="shared" ref="FZ362:FZ363" si="785">FY362/FF362</f>
        <v>0.57495281175363844</v>
      </c>
      <c r="GA362" s="103">
        <f>GC362+GE362+GG362</f>
        <v>24431.123540000001</v>
      </c>
      <c r="GB362" s="580">
        <f>GA362/FC362</f>
        <v>0.33200051651849466</v>
      </c>
      <c r="GC362" s="103">
        <f>GC364+GC376+GC377</f>
        <v>8793.9398500000007</v>
      </c>
      <c r="GD362" s="103"/>
      <c r="GE362" s="105">
        <f>GE364+GE376+GE377</f>
        <v>0</v>
      </c>
      <c r="GF362" s="103"/>
      <c r="GG362" s="103">
        <f>GG364+GG376+GG377</f>
        <v>15637.18369</v>
      </c>
      <c r="GH362" s="580">
        <f>GG362/FF362</f>
        <v>0.57495281175363844</v>
      </c>
      <c r="GI362" s="103">
        <f>GK362+GM362+GO362</f>
        <v>64425.607020000003</v>
      </c>
      <c r="GJ362" s="580">
        <f t="shared" ref="GJ362:GJ383" si="786">GI362/FC362</f>
        <v>0.8754953398945301</v>
      </c>
      <c r="GK362" s="103">
        <f>GK364+GK376+GK377</f>
        <v>37228.272960000002</v>
      </c>
      <c r="GL362" s="580">
        <f>GK362/FD362</f>
        <v>0.80250170099451812</v>
      </c>
      <c r="GM362" s="103"/>
      <c r="GN362" s="103"/>
      <c r="GO362" s="103">
        <f>GO364+GO376+GO377</f>
        <v>27197.334060000001</v>
      </c>
      <c r="GP362" s="580">
        <f>GO362/FF362</f>
        <v>1</v>
      </c>
      <c r="GQ362" s="103"/>
      <c r="GR362" s="103"/>
      <c r="GS362" s="103"/>
      <c r="GT362" s="103"/>
      <c r="GU362" s="103">
        <f>GV362+GW362+GX362</f>
        <v>260641.57217999999</v>
      </c>
      <c r="GV362" s="103">
        <f>GV364+GV376+GV377</f>
        <v>135552.56299999999</v>
      </c>
      <c r="GW362" s="103">
        <f>GW364+GW376+GW377</f>
        <v>0</v>
      </c>
      <c r="GX362" s="103">
        <f>GX364+GX376+GX377</f>
        <v>125089.00917999999</v>
      </c>
      <c r="GY362" s="143"/>
      <c r="GZ362" s="143"/>
      <c r="HA362" s="143"/>
      <c r="HB362" s="143"/>
      <c r="HC362" s="143"/>
      <c r="HD362" s="143"/>
      <c r="HE362" s="143"/>
      <c r="HF362" s="143"/>
      <c r="HG362" s="103">
        <f>HH362+HI362+HJ362</f>
        <v>-77905.531749999995</v>
      </c>
      <c r="HH362" s="103">
        <f>HH364+HH376+HH377</f>
        <v>0</v>
      </c>
      <c r="HI362" s="103">
        <f>HI364+HI376+HI377</f>
        <v>0</v>
      </c>
      <c r="HJ362" s="103">
        <f>HJ364+HJ376+HJ377</f>
        <v>-77905.531749999995</v>
      </c>
      <c r="HK362" s="103" t="e">
        <f>HL362+HM362+HN362</f>
        <v>#REF!</v>
      </c>
      <c r="HL362" s="103" t="e">
        <f>HL364+HL376+HL377</f>
        <v>#REF!</v>
      </c>
      <c r="HM362" s="103">
        <f>HM364+HM376+HM377</f>
        <v>0</v>
      </c>
      <c r="HN362" s="103">
        <f>HN364+HN376+HN377</f>
        <v>0</v>
      </c>
      <c r="HO362" s="103">
        <f>HP362+HQ362+HR362</f>
        <v>182736.04042999999</v>
      </c>
      <c r="HP362" s="103">
        <f>HP364+HP376+HP377</f>
        <v>135552.56299999999</v>
      </c>
      <c r="HQ362" s="103">
        <f>HQ364+HQ376+HQ377</f>
        <v>0</v>
      </c>
      <c r="HR362" s="103">
        <f>HR364+HR376+HR377</f>
        <v>47183.477429999999</v>
      </c>
      <c r="HS362" s="103">
        <f>HT362+HU362+HV362</f>
        <v>147798.52856999999</v>
      </c>
      <c r="HT362" s="103">
        <f>HT364+HT376+HT377</f>
        <v>0</v>
      </c>
      <c r="HU362" s="103">
        <f>HU364+HU376+HU377</f>
        <v>0</v>
      </c>
      <c r="HV362" s="103">
        <f>HV364+HV376+HV377+HV373</f>
        <v>147798.52856999999</v>
      </c>
      <c r="HW362" s="103">
        <f>HX362+HY362+HZ362</f>
        <v>0</v>
      </c>
      <c r="HX362" s="103">
        <f>HX364+HX376+HX377+HX373</f>
        <v>122889.58657</v>
      </c>
      <c r="HY362" s="103">
        <f>HY364+HY376+HY377</f>
        <v>0</v>
      </c>
      <c r="HZ362" s="103">
        <f>HZ364+HZ376+HZ377+HZ373</f>
        <v>-122889.58657</v>
      </c>
      <c r="IA362" s="103">
        <f>IB362+IC362+ID362</f>
        <v>147798.52856999999</v>
      </c>
      <c r="IB362" s="103">
        <f>IB364+IB376+IB377+IB373</f>
        <v>122889.58657</v>
      </c>
      <c r="IC362" s="103">
        <f>IC364+IC376+IC377</f>
        <v>0</v>
      </c>
      <c r="ID362" s="103">
        <f>ID364+ID376+ID377+ID373</f>
        <v>24908.941999999999</v>
      </c>
      <c r="IE362" s="198"/>
      <c r="IF362" s="141"/>
      <c r="IG362" s="141"/>
      <c r="IH362" s="141"/>
    </row>
    <row r="363" spans="1:249" s="127" customFormat="1" ht="46.5" customHeight="1" x14ac:dyDescent="0.25">
      <c r="B363" s="115"/>
      <c r="C363" s="116" t="s">
        <v>132</v>
      </c>
      <c r="D363" s="117"/>
      <c r="E363" s="118"/>
      <c r="F363" s="118"/>
      <c r="G363" s="118"/>
      <c r="H363" s="118"/>
      <c r="I363" s="118"/>
      <c r="J363" s="118"/>
      <c r="K363" s="118"/>
      <c r="L363" s="118"/>
      <c r="M363" s="118"/>
      <c r="N363" s="118"/>
      <c r="O363" s="118"/>
      <c r="P363" s="118"/>
      <c r="Q363" s="119"/>
      <c r="R363" s="119"/>
      <c r="S363" s="119"/>
      <c r="T363" s="119"/>
      <c r="U363" s="119"/>
      <c r="V363" s="119"/>
      <c r="W363" s="119"/>
      <c r="X363" s="119"/>
      <c r="Y363" s="119"/>
      <c r="Z363" s="119"/>
      <c r="AA363" s="119"/>
      <c r="AB363" s="119"/>
      <c r="AC363" s="119"/>
      <c r="AD363" s="119"/>
      <c r="AE363" s="119"/>
      <c r="AF363" s="119"/>
      <c r="AG363" s="119"/>
      <c r="AH363" s="119"/>
      <c r="AI363" s="120"/>
      <c r="AJ363" s="119"/>
      <c r="AK363" s="119"/>
      <c r="AL363" s="119"/>
      <c r="AM363" s="766"/>
      <c r="AN363" s="766"/>
      <c r="AO363" s="122"/>
      <c r="AP363" s="119"/>
      <c r="AQ363" s="119"/>
      <c r="AR363" s="119"/>
      <c r="AS363" s="119"/>
      <c r="AT363" s="119"/>
      <c r="AU363" s="119"/>
      <c r="AV363" s="119"/>
      <c r="AW363" s="119"/>
      <c r="AX363" s="119"/>
      <c r="AY363" s="119"/>
      <c r="AZ363" s="119"/>
      <c r="BA363" s="119"/>
      <c r="BB363" s="119"/>
      <c r="BC363" s="119"/>
      <c r="BD363" s="119"/>
      <c r="BE363" s="119"/>
      <c r="BF363" s="119"/>
      <c r="BG363" s="119"/>
      <c r="BH363" s="119"/>
      <c r="BI363" s="119"/>
      <c r="BJ363" s="119"/>
      <c r="BK363" s="123"/>
      <c r="BL363" s="124"/>
      <c r="BM363" s="124"/>
      <c r="BN363" s="124"/>
      <c r="BO363" s="124"/>
      <c r="BP363" s="124"/>
      <c r="BQ363" s="124"/>
      <c r="BR363" s="124"/>
      <c r="BS363" s="124"/>
      <c r="BT363" s="124"/>
      <c r="BU363" s="124"/>
      <c r="BV363" s="119"/>
      <c r="BW363" s="119"/>
      <c r="BX363" s="119"/>
      <c r="BY363" s="119"/>
      <c r="BZ363" s="119"/>
      <c r="CA363" s="119"/>
      <c r="CB363" s="119"/>
      <c r="CC363" s="119"/>
      <c r="CD363" s="119"/>
      <c r="CE363" s="124"/>
      <c r="CF363" s="124"/>
      <c r="CG363" s="119"/>
      <c r="CH363" s="119"/>
      <c r="CI363" s="119"/>
      <c r="CJ363" s="119"/>
      <c r="CK363" s="119"/>
      <c r="CL363" s="119"/>
      <c r="CM363" s="119"/>
      <c r="CN363" s="119"/>
      <c r="CO363" s="119"/>
      <c r="CP363" s="119"/>
      <c r="CQ363" s="119"/>
      <c r="CR363" s="119"/>
      <c r="CS363" s="119"/>
      <c r="CT363" s="119"/>
      <c r="CU363" s="119"/>
      <c r="CV363" s="119"/>
      <c r="CW363" s="119"/>
      <c r="CX363" s="119"/>
      <c r="CY363" s="119"/>
      <c r="CZ363" s="119"/>
      <c r="DA363" s="119"/>
      <c r="DB363" s="119"/>
      <c r="DC363" s="119"/>
      <c r="DD363" s="119"/>
      <c r="DE363" s="119"/>
      <c r="DF363" s="119"/>
      <c r="DG363" s="119"/>
      <c r="DH363" s="119"/>
      <c r="DI363" s="119"/>
      <c r="DJ363" s="119"/>
      <c r="DK363" s="119"/>
      <c r="DL363" s="119"/>
      <c r="DM363" s="119"/>
      <c r="DN363" s="119"/>
      <c r="DO363" s="119"/>
      <c r="DP363" s="119"/>
      <c r="DQ363" s="119"/>
      <c r="DR363" s="119"/>
      <c r="DS363" s="119"/>
      <c r="DT363" s="119"/>
      <c r="DU363" s="119"/>
      <c r="DV363" s="119"/>
      <c r="DW363" s="119"/>
      <c r="DX363" s="119"/>
      <c r="DY363" s="119"/>
      <c r="DZ363" s="119"/>
      <c r="EA363" s="119"/>
      <c r="EB363" s="119"/>
      <c r="EC363" s="119"/>
      <c r="ED363" s="119"/>
      <c r="EE363" s="119"/>
      <c r="EF363" s="119"/>
      <c r="EG363" s="119">
        <f>EH363+EI363+EJ363</f>
        <v>161343.9</v>
      </c>
      <c r="EH363" s="119">
        <f>EH375</f>
        <v>161343.9</v>
      </c>
      <c r="EI363" s="119">
        <f>EI375</f>
        <v>0</v>
      </c>
      <c r="EJ363" s="119">
        <f>EJ375</f>
        <v>0</v>
      </c>
      <c r="EK363" s="119">
        <f>EL363+EM363+EN363</f>
        <v>0</v>
      </c>
      <c r="EL363" s="119">
        <f>EL375</f>
        <v>0</v>
      </c>
      <c r="EM363" s="119">
        <f>EM375</f>
        <v>0</v>
      </c>
      <c r="EN363" s="119">
        <f>EN375</f>
        <v>0</v>
      </c>
      <c r="EO363" s="119"/>
      <c r="EP363" s="119"/>
      <c r="EQ363" s="119"/>
      <c r="ER363" s="119"/>
      <c r="ES363" s="119">
        <f>ET363+EU363+EV363</f>
        <v>0</v>
      </c>
      <c r="ET363" s="119">
        <f>ET375</f>
        <v>0</v>
      </c>
      <c r="EU363" s="119">
        <f>EU375</f>
        <v>0</v>
      </c>
      <c r="EV363" s="119">
        <f>EV375</f>
        <v>0</v>
      </c>
      <c r="EW363" s="119"/>
      <c r="EX363" s="119"/>
      <c r="EY363" s="119"/>
      <c r="EZ363" s="119"/>
      <c r="FA363" s="119"/>
      <c r="FB363" s="119"/>
      <c r="FC363" s="118">
        <f>FD363+FE363+FF363</f>
        <v>45772.800000000003</v>
      </c>
      <c r="FD363" s="118">
        <f>FD375</f>
        <v>0</v>
      </c>
      <c r="FE363" s="118">
        <f>FE375</f>
        <v>0</v>
      </c>
      <c r="FF363" s="118">
        <f>FF375</f>
        <v>45772.800000000003</v>
      </c>
      <c r="FG363" s="118">
        <f>FH363+FI363+FJ363</f>
        <v>0</v>
      </c>
      <c r="FH363" s="118">
        <f>FH375</f>
        <v>0</v>
      </c>
      <c r="FI363" s="118">
        <f>FI375</f>
        <v>0</v>
      </c>
      <c r="FJ363" s="118">
        <f>FJ375</f>
        <v>0</v>
      </c>
      <c r="FK363" s="118"/>
      <c r="FL363" s="118"/>
      <c r="FM363" s="118"/>
      <c r="FN363" s="118"/>
      <c r="FO363" s="118">
        <f>FP363+FQ363+FR363</f>
        <v>45772.800000000003</v>
      </c>
      <c r="FP363" s="118">
        <f>FP375</f>
        <v>0</v>
      </c>
      <c r="FQ363" s="118">
        <f>FQ375</f>
        <v>0</v>
      </c>
      <c r="FR363" s="118">
        <f>FR375</f>
        <v>45772.800000000003</v>
      </c>
      <c r="FS363" s="118">
        <f>FU363+FY363</f>
        <v>31748.221280000002</v>
      </c>
      <c r="FT363" s="520">
        <f t="shared" si="783"/>
        <v>0.69360452670581652</v>
      </c>
      <c r="FU363" s="118">
        <f>FU375</f>
        <v>0</v>
      </c>
      <c r="FV363" s="520">
        <v>0</v>
      </c>
      <c r="FW363" s="119"/>
      <c r="FX363" s="119"/>
      <c r="FY363" s="118">
        <f>FY375</f>
        <v>31748.221280000002</v>
      </c>
      <c r="FZ363" s="520">
        <f t="shared" si="785"/>
        <v>0.69360452670581652</v>
      </c>
      <c r="GA363" s="118">
        <f>GC363+GE363+GG363</f>
        <v>31748.221280000002</v>
      </c>
      <c r="GB363" s="520">
        <f>GA363/FC363</f>
        <v>0.69360452670581652</v>
      </c>
      <c r="GC363" s="118">
        <f>GC375</f>
        <v>0</v>
      </c>
      <c r="GD363" s="118"/>
      <c r="GE363" s="119">
        <f>GE375</f>
        <v>0</v>
      </c>
      <c r="GF363" s="118"/>
      <c r="GG363" s="118">
        <f>GG375</f>
        <v>31748.221280000002</v>
      </c>
      <c r="GH363" s="520">
        <f>GG363/FF363</f>
        <v>0.69360452670581652</v>
      </c>
      <c r="GI363" s="118">
        <f>GK363+GM363+GO363</f>
        <v>45772.800000000003</v>
      </c>
      <c r="GJ363" s="520">
        <f t="shared" si="786"/>
        <v>1</v>
      </c>
      <c r="GK363" s="118">
        <f>GK375</f>
        <v>0</v>
      </c>
      <c r="GL363" s="520">
        <v>0</v>
      </c>
      <c r="GM363" s="118"/>
      <c r="GN363" s="118"/>
      <c r="GO363" s="118">
        <f>GO375</f>
        <v>45772.800000000003</v>
      </c>
      <c r="GP363" s="520">
        <f>GO363/FF363</f>
        <v>1</v>
      </c>
      <c r="GQ363" s="118"/>
      <c r="GR363" s="118"/>
      <c r="GS363" s="118"/>
      <c r="GT363" s="118"/>
      <c r="GU363" s="118">
        <f>GV363+GW363+GX363</f>
        <v>53152.800000000003</v>
      </c>
      <c r="GV363" s="118">
        <f>GV375</f>
        <v>0</v>
      </c>
      <c r="GW363" s="118">
        <f>GW375</f>
        <v>0</v>
      </c>
      <c r="GX363" s="118">
        <f>GX375</f>
        <v>53152.800000000003</v>
      </c>
      <c r="GY363" s="118"/>
      <c r="GZ363" s="118"/>
      <c r="HA363" s="118"/>
      <c r="HB363" s="118"/>
      <c r="HC363" s="118"/>
      <c r="HD363" s="118"/>
      <c r="HE363" s="118"/>
      <c r="HF363" s="118"/>
      <c r="HG363" s="118">
        <f>HH363+HI363+HJ363</f>
        <v>0</v>
      </c>
      <c r="HH363" s="118">
        <f>HH375</f>
        <v>0</v>
      </c>
      <c r="HI363" s="118">
        <f>HI375</f>
        <v>0</v>
      </c>
      <c r="HJ363" s="118">
        <f>HJ375</f>
        <v>0</v>
      </c>
      <c r="HK363" s="118">
        <f>HL363+HM363+HN363</f>
        <v>0</v>
      </c>
      <c r="HL363" s="118">
        <f>HL375</f>
        <v>0</v>
      </c>
      <c r="HM363" s="118">
        <f>HM375</f>
        <v>0</v>
      </c>
      <c r="HN363" s="118">
        <f>HN375</f>
        <v>0</v>
      </c>
      <c r="HO363" s="118">
        <f>HP363+HQ363+HR363</f>
        <v>53152.800000000003</v>
      </c>
      <c r="HP363" s="118">
        <f>HP375</f>
        <v>0</v>
      </c>
      <c r="HQ363" s="118">
        <f>HQ375</f>
        <v>0</v>
      </c>
      <c r="HR363" s="118">
        <f>HR375</f>
        <v>53152.800000000003</v>
      </c>
      <c r="HS363" s="118">
        <f>HT363+HU363+HV363</f>
        <v>249503.1</v>
      </c>
      <c r="HT363" s="118">
        <f>HT375</f>
        <v>0</v>
      </c>
      <c r="HU363" s="118">
        <f>HU375</f>
        <v>0</v>
      </c>
      <c r="HV363" s="118">
        <f>HV372</f>
        <v>249503.1</v>
      </c>
      <c r="HW363" s="118">
        <f>HX363+HY363+HZ363</f>
        <v>0</v>
      </c>
      <c r="HX363" s="118">
        <f>HX372</f>
        <v>249503.1</v>
      </c>
      <c r="HY363" s="118">
        <f>HY375</f>
        <v>0</v>
      </c>
      <c r="HZ363" s="118">
        <f>HZ372</f>
        <v>-249503.1</v>
      </c>
      <c r="IA363" s="118">
        <f>IB363+IC363+ID363</f>
        <v>249503.1</v>
      </c>
      <c r="IB363" s="118">
        <f>IB372</f>
        <v>249503.1</v>
      </c>
      <c r="IC363" s="118">
        <f>IC375</f>
        <v>0</v>
      </c>
      <c r="ID363" s="118">
        <f>ID372</f>
        <v>0</v>
      </c>
      <c r="IE363" s="125"/>
      <c r="IF363" s="126"/>
      <c r="IG363" s="126"/>
      <c r="IH363" s="126"/>
    </row>
    <row r="364" spans="1:249" s="220" customFormat="1" ht="211.5" customHeight="1" x14ac:dyDescent="0.25">
      <c r="B364" s="149" t="s">
        <v>134</v>
      </c>
      <c r="C364" s="346" t="s">
        <v>425</v>
      </c>
      <c r="D364" s="151" t="s">
        <v>423</v>
      </c>
      <c r="E364" s="152" t="e">
        <f>G364</f>
        <v>#REF!</v>
      </c>
      <c r="F364" s="152"/>
      <c r="G364" s="152" t="e">
        <f>#REF!+#REF!</f>
        <v>#REF!</v>
      </c>
      <c r="H364" s="152" t="e">
        <f>J364</f>
        <v>#REF!</v>
      </c>
      <c r="I364" s="152"/>
      <c r="J364" s="152" t="e">
        <f>#REF!+#REF!</f>
        <v>#REF!</v>
      </c>
      <c r="K364" s="152" t="e">
        <f>M364</f>
        <v>#REF!</v>
      </c>
      <c r="L364" s="152"/>
      <c r="M364" s="152" t="e">
        <f>#REF!+#REF!</f>
        <v>#REF!</v>
      </c>
      <c r="N364" s="152" t="e">
        <f>P364</f>
        <v>#REF!</v>
      </c>
      <c r="O364" s="152"/>
      <c r="P364" s="152" t="e">
        <f>#REF!+#REF!</f>
        <v>#REF!</v>
      </c>
      <c r="Q364" s="153" t="e">
        <f>S364</f>
        <v>#REF!</v>
      </c>
      <c r="R364" s="153"/>
      <c r="S364" s="153" t="e">
        <f>#REF!+#REF!</f>
        <v>#REF!</v>
      </c>
      <c r="T364" s="153" t="e">
        <f>V364</f>
        <v>#REF!</v>
      </c>
      <c r="U364" s="153"/>
      <c r="V364" s="153" t="e">
        <f>#REF!+#REF!</f>
        <v>#REF!</v>
      </c>
      <c r="W364" s="153" t="e">
        <f>Y364</f>
        <v>#REF!</v>
      </c>
      <c r="X364" s="153"/>
      <c r="Y364" s="153" t="e">
        <f>#REF!+#REF!</f>
        <v>#REF!</v>
      </c>
      <c r="Z364" s="153">
        <f>AB364</f>
        <v>248753.6</v>
      </c>
      <c r="AA364" s="153"/>
      <c r="AB364" s="153">
        <v>248753.6</v>
      </c>
      <c r="AC364" s="153"/>
      <c r="AD364" s="153"/>
      <c r="AE364" s="153">
        <v>0</v>
      </c>
      <c r="AF364" s="153" t="e">
        <f>#REF!+#REF!</f>
        <v>#REF!</v>
      </c>
      <c r="AG364" s="153"/>
      <c r="AH364" s="153" t="e">
        <f>#REF!+#REF!</f>
        <v>#REF!</v>
      </c>
      <c r="AI364" s="153">
        <v>0</v>
      </c>
      <c r="AJ364" s="153" t="e">
        <f>#REF!+#REF!</f>
        <v>#REF!</v>
      </c>
      <c r="AK364" s="153" t="e">
        <f>Z364-AJ364</f>
        <v>#REF!</v>
      </c>
      <c r="AL364" s="153" t="e">
        <f>AF364-AJ364</f>
        <v>#REF!</v>
      </c>
      <c r="AM364" s="766"/>
      <c r="AN364" s="766"/>
      <c r="AO364" s="347">
        <v>1</v>
      </c>
      <c r="AP364" s="107"/>
      <c r="AQ364" s="107"/>
      <c r="AR364" s="153" t="e">
        <f>AF364-AP364-AQ364</f>
        <v>#REF!</v>
      </c>
      <c r="AS364" s="153">
        <f>AU364</f>
        <v>100000</v>
      </c>
      <c r="AT364" s="153" t="e">
        <f>#REF!+#REF!</f>
        <v>#REF!</v>
      </c>
      <c r="AU364" s="153">
        <v>100000</v>
      </c>
      <c r="AV364" s="153" t="e">
        <f>AX364</f>
        <v>#REF!</v>
      </c>
      <c r="AW364" s="153"/>
      <c r="AX364" s="153" t="e">
        <f>#REF!+#REF!</f>
        <v>#REF!</v>
      </c>
      <c r="AY364" s="153" t="e">
        <f>BA364</f>
        <v>#REF!</v>
      </c>
      <c r="AZ364" s="153" t="e">
        <f>#REF!+#REF!</f>
        <v>#REF!</v>
      </c>
      <c r="BA364" s="153" t="e">
        <f>AU364+AX364</f>
        <v>#REF!</v>
      </c>
      <c r="BB364" s="153" t="e">
        <f>BD364</f>
        <v>#REF!</v>
      </c>
      <c r="BC364" s="153"/>
      <c r="BD364" s="153" t="e">
        <f>#REF!+#REF!</f>
        <v>#REF!</v>
      </c>
      <c r="BE364" s="153" t="e">
        <f>BG364</f>
        <v>#REF!</v>
      </c>
      <c r="BF364" s="153"/>
      <c r="BG364" s="153" t="e">
        <f>#REF!+#REF!</f>
        <v>#REF!</v>
      </c>
      <c r="BH364" s="153" t="e">
        <f>BJ364</f>
        <v>#REF!</v>
      </c>
      <c r="BI364" s="153" t="e">
        <f>#REF!+#REF!</f>
        <v>#REF!</v>
      </c>
      <c r="BJ364" s="153" t="e">
        <f>BD364+BG364</f>
        <v>#REF!</v>
      </c>
      <c r="BK364" s="348">
        <v>1</v>
      </c>
      <c r="BL364" s="249" t="e">
        <f>BA364</f>
        <v>#REF!</v>
      </c>
      <c r="BM364" s="249"/>
      <c r="BN364" s="249"/>
      <c r="BO364" s="249"/>
      <c r="BP364" s="249"/>
      <c r="BQ364" s="249"/>
      <c r="BR364" s="249"/>
      <c r="BS364" s="249" t="e">
        <f>BT364+BU364</f>
        <v>#REF!</v>
      </c>
      <c r="BT364" s="249"/>
      <c r="BU364" s="249" t="e">
        <f>BA364-BO364-BR364</f>
        <v>#REF!</v>
      </c>
      <c r="BV364" s="153" t="e">
        <f>BX364</f>
        <v>#REF!</v>
      </c>
      <c r="BW364" s="153"/>
      <c r="BX364" s="153" t="e">
        <f>#REF!+#REF!</f>
        <v>#REF!</v>
      </c>
      <c r="BY364" s="153" t="e">
        <f>CA364</f>
        <v>#REF!</v>
      </c>
      <c r="BZ364" s="153"/>
      <c r="CA364" s="153" t="e">
        <f>#REF!+#REF!</f>
        <v>#REF!</v>
      </c>
      <c r="CB364" s="153" t="e">
        <f>CC364+CD364</f>
        <v>#REF!</v>
      </c>
      <c r="CC364" s="153"/>
      <c r="CD364" s="153" t="e">
        <f>#REF!+#REF!</f>
        <v>#REF!</v>
      </c>
      <c r="CE364" s="249">
        <v>1</v>
      </c>
      <c r="CF364" s="249" t="e">
        <f>BX364</f>
        <v>#REF!</v>
      </c>
      <c r="CG364" s="153"/>
      <c r="CH364" s="153">
        <f>CJ364</f>
        <v>100000</v>
      </c>
      <c r="CI364" s="153" t="e">
        <f>#REF!+#REF!</f>
        <v>#REF!</v>
      </c>
      <c r="CJ364" s="153">
        <v>100000</v>
      </c>
      <c r="CK364" s="153">
        <f>CM364</f>
        <v>0</v>
      </c>
      <c r="CL364" s="153"/>
      <c r="CM364" s="153">
        <f>CS364-CH364</f>
        <v>0</v>
      </c>
      <c r="CN364" s="153">
        <f>CP364</f>
        <v>0</v>
      </c>
      <c r="CO364" s="153"/>
      <c r="CP364" s="153">
        <f>IJ364-CK364</f>
        <v>0</v>
      </c>
      <c r="CQ364" s="153">
        <f>CS364</f>
        <v>100000</v>
      </c>
      <c r="CR364" s="153" t="e">
        <f>#REF!+#REF!</f>
        <v>#REF!</v>
      </c>
      <c r="CS364" s="153">
        <v>100000</v>
      </c>
      <c r="CT364" s="153" t="e">
        <f>CV364</f>
        <v>#REF!</v>
      </c>
      <c r="CU364" s="153"/>
      <c r="CV364" s="153" t="e">
        <f>#REF!+#REF!</f>
        <v>#REF!</v>
      </c>
      <c r="CW364" s="153" t="e">
        <f>CY364</f>
        <v>#REF!</v>
      </c>
      <c r="CX364" s="153"/>
      <c r="CY364" s="153" t="e">
        <f>#REF!+#REF!</f>
        <v>#REF!</v>
      </c>
      <c r="CZ364" s="153" t="e">
        <f>DA364+DB364</f>
        <v>#REF!</v>
      </c>
      <c r="DA364" s="153"/>
      <c r="DB364" s="153" t="e">
        <f>#REF!+#REF!</f>
        <v>#REF!</v>
      </c>
      <c r="DC364" s="153">
        <f>DD364+DE364</f>
        <v>0</v>
      </c>
      <c r="DD364" s="153"/>
      <c r="DE364" s="153">
        <f>DE377</f>
        <v>0</v>
      </c>
      <c r="DF364" s="153" t="e">
        <f>DG364+DH364</f>
        <v>#REF!</v>
      </c>
      <c r="DG364" s="153"/>
      <c r="DH364" s="153" t="e">
        <f>#REF!</f>
        <v>#REF!</v>
      </c>
      <c r="DI364" s="153" t="e">
        <f>#REF!</f>
        <v>#REF!</v>
      </c>
      <c r="DJ364" s="153"/>
      <c r="DK364" s="153" t="e">
        <f>#REF!</f>
        <v>#REF!</v>
      </c>
      <c r="DL364" s="153" t="e">
        <f>#REF!</f>
        <v>#REF!</v>
      </c>
      <c r="DM364" s="153"/>
      <c r="DN364" s="153" t="e">
        <f>#REF!</f>
        <v>#REF!</v>
      </c>
      <c r="DO364" s="153" t="e">
        <f>#REF!</f>
        <v>#REF!</v>
      </c>
      <c r="DP364" s="153"/>
      <c r="DQ364" s="153" t="e">
        <f>#REF!</f>
        <v>#REF!</v>
      </c>
      <c r="DR364" s="153">
        <v>0</v>
      </c>
      <c r="DS364" s="153"/>
      <c r="DT364" s="153" t="e">
        <f>#REF!</f>
        <v>#REF!</v>
      </c>
      <c r="DU364" s="153">
        <f>DV364+DW364</f>
        <v>100000</v>
      </c>
      <c r="DV364" s="153"/>
      <c r="DW364" s="153">
        <f>DW366</f>
        <v>100000</v>
      </c>
      <c r="DX364" s="153" t="e">
        <f>DY364+DZ364</f>
        <v>#REF!</v>
      </c>
      <c r="DY364" s="153"/>
      <c r="DZ364" s="153" t="e">
        <f>#REF!+#REF!</f>
        <v>#REF!</v>
      </c>
      <c r="EA364" s="153"/>
      <c r="EB364" s="153"/>
      <c r="EC364" s="153"/>
      <c r="ED364" s="153">
        <f>EE364+EF364</f>
        <v>-100000</v>
      </c>
      <c r="EE364" s="153"/>
      <c r="EF364" s="153">
        <f>EF366</f>
        <v>-100000</v>
      </c>
      <c r="EG364" s="153">
        <f>EH364+EI364+EJ364</f>
        <v>70898.10282</v>
      </c>
      <c r="EH364" s="153">
        <v>0</v>
      </c>
      <c r="EI364" s="153"/>
      <c r="EJ364" s="349">
        <f>SUM(EJ365:EJ369)</f>
        <v>70898.10282</v>
      </c>
      <c r="EK364" s="153">
        <f>EL364+EN364</f>
        <v>-67398.10282</v>
      </c>
      <c r="EL364" s="153">
        <v>0</v>
      </c>
      <c r="EM364" s="153"/>
      <c r="EN364" s="153">
        <f>EV364-EJ364</f>
        <v>-67398.10282</v>
      </c>
      <c r="EO364" s="153">
        <f>EP364+ER364</f>
        <v>0</v>
      </c>
      <c r="EP364" s="153">
        <v>0</v>
      </c>
      <c r="EQ364" s="153"/>
      <c r="ER364" s="153"/>
      <c r="ES364" s="153">
        <f>ET364+EU364+EV364</f>
        <v>3500</v>
      </c>
      <c r="ET364" s="153">
        <v>0</v>
      </c>
      <c r="EU364" s="153"/>
      <c r="EV364" s="153">
        <f>SUM(EV365:EV369)</f>
        <v>3500</v>
      </c>
      <c r="EW364" s="153" t="e">
        <f>EX364+EY364</f>
        <v>#REF!</v>
      </c>
      <c r="EX364" s="153"/>
      <c r="EY364" s="153" t="e">
        <f>#REF!+#REF!</f>
        <v>#REF!</v>
      </c>
      <c r="EZ364" s="153">
        <f>FA364+FB364</f>
        <v>0</v>
      </c>
      <c r="FA364" s="153"/>
      <c r="FB364" s="153">
        <f>FB366</f>
        <v>0</v>
      </c>
      <c r="FC364" s="152">
        <f>FD364+FF364</f>
        <v>4652.5220200000003</v>
      </c>
      <c r="FD364" s="152"/>
      <c r="FE364" s="152"/>
      <c r="FF364" s="152">
        <f>SUM(FF365:FF370)</f>
        <v>4652.5220200000003</v>
      </c>
      <c r="FG364" s="152">
        <f>FH364+FI364+FJ364</f>
        <v>0</v>
      </c>
      <c r="FH364" s="152"/>
      <c r="FI364" s="152"/>
      <c r="FJ364" s="152">
        <f>SUM(FJ365:FJ370)</f>
        <v>0</v>
      </c>
      <c r="FK364" s="152">
        <f>FL364+FN364</f>
        <v>0</v>
      </c>
      <c r="FL364" s="152">
        <v>0</v>
      </c>
      <c r="FM364" s="152"/>
      <c r="FN364" s="152"/>
      <c r="FO364" s="152">
        <f>FP364+FQ364+FR364</f>
        <v>4652.5220200000003</v>
      </c>
      <c r="FP364" s="152"/>
      <c r="FQ364" s="152"/>
      <c r="FR364" s="152">
        <f>SUM(FR365:FR370)</f>
        <v>4652.5220200000003</v>
      </c>
      <c r="FS364" s="152"/>
      <c r="FT364" s="349"/>
      <c r="FU364" s="152"/>
      <c r="FV364" s="349"/>
      <c r="FW364" s="658"/>
      <c r="FX364" s="658"/>
      <c r="FY364" s="152">
        <f>SUM(FY365:FY370)</f>
        <v>0</v>
      </c>
      <c r="FZ364" s="349"/>
      <c r="GA364" s="152"/>
      <c r="GB364" s="349"/>
      <c r="GC364" s="152"/>
      <c r="GD364" s="349"/>
      <c r="GE364" s="659"/>
      <c r="GF364" s="349"/>
      <c r="GG364" s="152">
        <f>SUM(GG365:GG370)</f>
        <v>0</v>
      </c>
      <c r="GH364" s="349"/>
      <c r="GI364" s="152">
        <f>GO364</f>
        <v>4652.5220200000003</v>
      </c>
      <c r="GJ364" s="577">
        <f t="shared" si="786"/>
        <v>1</v>
      </c>
      <c r="GK364" s="152"/>
      <c r="GL364" s="577">
        <v>0</v>
      </c>
      <c r="GM364" s="152"/>
      <c r="GN364" s="349"/>
      <c r="GO364" s="152">
        <f>SUM(GO365:GO370)</f>
        <v>4652.5220200000003</v>
      </c>
      <c r="GP364" s="577">
        <f>GO364/FF364</f>
        <v>1</v>
      </c>
      <c r="GQ364" s="349"/>
      <c r="GR364" s="349"/>
      <c r="GS364" s="349"/>
      <c r="GT364" s="349"/>
      <c r="GU364" s="153">
        <f>GX364</f>
        <v>98909.27218</v>
      </c>
      <c r="GV364" s="153"/>
      <c r="GW364" s="153"/>
      <c r="GX364" s="349">
        <f>SUM(GX365:GX370)</f>
        <v>98909.27218</v>
      </c>
      <c r="GY364" s="153"/>
      <c r="GZ364" s="153"/>
      <c r="HA364" s="153"/>
      <c r="HB364" s="153"/>
      <c r="HC364" s="153"/>
      <c r="HD364" s="153"/>
      <c r="HE364" s="153"/>
      <c r="HF364" s="153"/>
      <c r="HG364" s="349">
        <f>HH364+HI364+HJ364</f>
        <v>-77905.532179999995</v>
      </c>
      <c r="HH364" s="153"/>
      <c r="HI364" s="153"/>
      <c r="HJ364" s="349">
        <f>SUM(HJ365:HJ370)</f>
        <v>-77905.532179999995</v>
      </c>
      <c r="HK364" s="153">
        <f>HK367+HK369</f>
        <v>0</v>
      </c>
      <c r="HL364" s="153"/>
      <c r="HM364" s="153"/>
      <c r="HN364" s="153">
        <f>SUM(HN365:HN369)</f>
        <v>0</v>
      </c>
      <c r="HO364" s="153">
        <f>HR364</f>
        <v>21003.74</v>
      </c>
      <c r="HP364" s="153"/>
      <c r="HQ364" s="153"/>
      <c r="HR364" s="349">
        <f>SUM(HR365:HR370)</f>
        <v>21003.74</v>
      </c>
      <c r="HS364" s="349">
        <f>HV364</f>
        <v>24908.941999999999</v>
      </c>
      <c r="HT364" s="153"/>
      <c r="HU364" s="153"/>
      <c r="HV364" s="349">
        <f>SUM(HV365:HV370)</f>
        <v>24908.941999999999</v>
      </c>
      <c r="HW364" s="153">
        <f>HW367+HW369</f>
        <v>0</v>
      </c>
      <c r="HX364" s="153"/>
      <c r="HY364" s="153"/>
      <c r="HZ364" s="153">
        <f>SUM(HZ365:HZ369)</f>
        <v>0</v>
      </c>
      <c r="IA364" s="153">
        <f>IA367+IA369</f>
        <v>24908.941999999999</v>
      </c>
      <c r="IB364" s="153"/>
      <c r="IC364" s="153"/>
      <c r="ID364" s="349">
        <f>SUM(ID365:ID370)</f>
        <v>24908.941999999999</v>
      </c>
      <c r="IE364" s="302"/>
      <c r="IF364" s="219"/>
      <c r="IG364" s="219"/>
      <c r="IH364" s="219"/>
    </row>
    <row r="365" spans="1:249" s="129" customFormat="1" ht="89.25" customHeight="1" x14ac:dyDescent="0.25">
      <c r="B365" s="351" t="s">
        <v>134</v>
      </c>
      <c r="C365" s="101" t="s">
        <v>426</v>
      </c>
      <c r="D365" s="162"/>
      <c r="E365" s="163"/>
      <c r="F365" s="163"/>
      <c r="G365" s="163"/>
      <c r="H365" s="163"/>
      <c r="I365" s="352"/>
      <c r="J365" s="352"/>
      <c r="K365" s="163"/>
      <c r="L365" s="163"/>
      <c r="M365" s="163"/>
      <c r="N365" s="163"/>
      <c r="O365" s="352"/>
      <c r="P365" s="352"/>
      <c r="Q365" s="164"/>
      <c r="R365" s="164"/>
      <c r="S365" s="164"/>
      <c r="T365" s="164"/>
      <c r="U365" s="164"/>
      <c r="V365" s="164"/>
      <c r="W365" s="164"/>
      <c r="X365" s="259"/>
      <c r="Y365" s="259"/>
      <c r="Z365" s="164"/>
      <c r="AA365" s="164"/>
      <c r="AB365" s="164"/>
      <c r="AC365" s="164"/>
      <c r="AD365" s="164"/>
      <c r="AE365" s="164"/>
      <c r="AF365" s="164"/>
      <c r="AG365" s="164"/>
      <c r="AH365" s="164"/>
      <c r="AI365" s="164"/>
      <c r="AJ365" s="164"/>
      <c r="AK365" s="164"/>
      <c r="AL365" s="164"/>
      <c r="AM365" s="164"/>
      <c r="AN365" s="164"/>
      <c r="AO365" s="164"/>
      <c r="AP365" s="164"/>
      <c r="AQ365" s="164"/>
      <c r="AR365" s="164"/>
      <c r="AS365" s="164"/>
      <c r="AT365" s="164"/>
      <c r="AU365" s="164"/>
      <c r="AV365" s="164"/>
      <c r="AW365" s="259"/>
      <c r="AX365" s="259"/>
      <c r="AY365" s="164"/>
      <c r="AZ365" s="164"/>
      <c r="BA365" s="164"/>
      <c r="BB365" s="164"/>
      <c r="BC365" s="164"/>
      <c r="BD365" s="164"/>
      <c r="BE365" s="164"/>
      <c r="BF365" s="259"/>
      <c r="BG365" s="259"/>
      <c r="BH365" s="164"/>
      <c r="BI365" s="164"/>
      <c r="BJ365" s="164"/>
      <c r="BK365" s="164"/>
      <c r="BL365" s="164"/>
      <c r="BM365" s="164"/>
      <c r="BN365" s="164"/>
      <c r="BO365" s="164"/>
      <c r="BP365" s="164"/>
      <c r="BQ365" s="164"/>
      <c r="BR365" s="164"/>
      <c r="BS365" s="164"/>
      <c r="BT365" s="164"/>
      <c r="BU365" s="164"/>
      <c r="BV365" s="164"/>
      <c r="BW365" s="164"/>
      <c r="BX365" s="164"/>
      <c r="BY365" s="164"/>
      <c r="BZ365" s="259"/>
      <c r="CA365" s="259"/>
      <c r="CB365" s="144">
        <f>CD365</f>
        <v>100000</v>
      </c>
      <c r="CC365" s="164"/>
      <c r="CD365" s="164">
        <v>100000</v>
      </c>
      <c r="CE365" s="164"/>
      <c r="CF365" s="164"/>
      <c r="CG365" s="164"/>
      <c r="CH365" s="164"/>
      <c r="CI365" s="164"/>
      <c r="CJ365" s="164"/>
      <c r="CK365" s="164"/>
      <c r="CL365" s="259"/>
      <c r="CM365" s="259"/>
      <c r="CN365" s="259"/>
      <c r="CO365" s="259"/>
      <c r="CP365" s="259"/>
      <c r="CQ365" s="164"/>
      <c r="CR365" s="164"/>
      <c r="CS365" s="164"/>
      <c r="CT365" s="164">
        <v>0</v>
      </c>
      <c r="CU365" s="164"/>
      <c r="CV365" s="164">
        <v>0</v>
      </c>
      <c r="CW365" s="164">
        <f>CX365+CY365</f>
        <v>100000</v>
      </c>
      <c r="CX365" s="164"/>
      <c r="CY365" s="164">
        <f>CD365</f>
        <v>100000</v>
      </c>
      <c r="CZ365" s="164"/>
      <c r="DA365" s="164"/>
      <c r="DB365" s="164">
        <v>0</v>
      </c>
      <c r="DC365" s="164"/>
      <c r="DD365" s="164"/>
      <c r="DE365" s="164"/>
      <c r="DF365" s="164">
        <v>0</v>
      </c>
      <c r="DG365" s="164"/>
      <c r="DH365" s="164">
        <v>0</v>
      </c>
      <c r="DI365" s="164">
        <v>100000</v>
      </c>
      <c r="DJ365" s="164"/>
      <c r="DK365" s="164">
        <v>100000</v>
      </c>
      <c r="DL365" s="164">
        <v>100000</v>
      </c>
      <c r="DM365" s="164"/>
      <c r="DN365" s="164">
        <v>100000</v>
      </c>
      <c r="DO365" s="164">
        <f>DP365+DQ365</f>
        <v>0</v>
      </c>
      <c r="DP365" s="164"/>
      <c r="DQ365" s="164">
        <v>0</v>
      </c>
      <c r="DR365" s="164">
        <f>DS365+DT365</f>
        <v>0</v>
      </c>
      <c r="DS365" s="164"/>
      <c r="DT365" s="164">
        <f>DK365-DN365</f>
        <v>0</v>
      </c>
      <c r="DU365" s="164"/>
      <c r="DV365" s="164"/>
      <c r="DW365" s="164">
        <v>0</v>
      </c>
      <c r="DX365" s="164"/>
      <c r="DY365" s="164"/>
      <c r="DZ365" s="164">
        <v>0</v>
      </c>
      <c r="EA365" s="164"/>
      <c r="EB365" s="164"/>
      <c r="EC365" s="164"/>
      <c r="ED365" s="164"/>
      <c r="EE365" s="164"/>
      <c r="EF365" s="164"/>
      <c r="EG365" s="144">
        <f>EJ365</f>
        <v>1152.5220200000001</v>
      </c>
      <c r="EH365" s="164"/>
      <c r="EI365" s="164"/>
      <c r="EJ365" s="144">
        <v>1152.5220200000001</v>
      </c>
      <c r="EK365" s="144">
        <f>EN365</f>
        <v>0</v>
      </c>
      <c r="EL365" s="164"/>
      <c r="EM365" s="164"/>
      <c r="EN365" s="144">
        <f>EA365</f>
        <v>0</v>
      </c>
      <c r="EO365" s="144">
        <f>ER365</f>
        <v>0</v>
      </c>
      <c r="EP365" s="164"/>
      <c r="EQ365" s="164"/>
      <c r="ER365" s="144">
        <f>EE365</f>
        <v>0</v>
      </c>
      <c r="ES365" s="144">
        <f>EV365</f>
        <v>3500</v>
      </c>
      <c r="ET365" s="164"/>
      <c r="EU365" s="164"/>
      <c r="EV365" s="144">
        <f>FR365-EJ365</f>
        <v>3500</v>
      </c>
      <c r="EW365" s="164"/>
      <c r="EX365" s="164"/>
      <c r="EY365" s="164">
        <v>0</v>
      </c>
      <c r="EZ365" s="164"/>
      <c r="FA365" s="164"/>
      <c r="FB365" s="164"/>
      <c r="FC365" s="163">
        <f>FF365</f>
        <v>4652.5220200000003</v>
      </c>
      <c r="FD365" s="163"/>
      <c r="FE365" s="163"/>
      <c r="FF365" s="143">
        <f>1152.52202+3500</f>
        <v>4652.5220200000003</v>
      </c>
      <c r="FG365" s="163">
        <f>FJ365</f>
        <v>0</v>
      </c>
      <c r="FH365" s="163"/>
      <c r="FI365" s="163"/>
      <c r="FJ365" s="163">
        <f>FR365-FF365</f>
        <v>0</v>
      </c>
      <c r="FK365" s="143">
        <f>FN365</f>
        <v>0</v>
      </c>
      <c r="FL365" s="163"/>
      <c r="FM365" s="163"/>
      <c r="FN365" s="143">
        <f>FA365</f>
        <v>0</v>
      </c>
      <c r="FO365" s="163">
        <f>FR365</f>
        <v>4652.5220200000003</v>
      </c>
      <c r="FP365" s="163"/>
      <c r="FQ365" s="163"/>
      <c r="FR365" s="163">
        <v>4652.5220200000003</v>
      </c>
      <c r="FS365" s="163"/>
      <c r="FT365" s="163"/>
      <c r="FU365" s="163"/>
      <c r="FV365" s="163"/>
      <c r="FW365" s="164"/>
      <c r="FX365" s="164"/>
      <c r="FY365" s="163"/>
      <c r="FZ365" s="163"/>
      <c r="GA365" s="163"/>
      <c r="GB365" s="163"/>
      <c r="GC365" s="163"/>
      <c r="GD365" s="163"/>
      <c r="GE365" s="163"/>
      <c r="GF365" s="163"/>
      <c r="GG365" s="163"/>
      <c r="GH365" s="163"/>
      <c r="GI365" s="163">
        <f>GO365</f>
        <v>4652.5220200000003</v>
      </c>
      <c r="GJ365" s="577">
        <f t="shared" si="786"/>
        <v>1</v>
      </c>
      <c r="GK365" s="163"/>
      <c r="GL365" s="163"/>
      <c r="GM365" s="163"/>
      <c r="GN365" s="163"/>
      <c r="GO365" s="163">
        <f>FF365</f>
        <v>4652.5220200000003</v>
      </c>
      <c r="GP365" s="516">
        <f>GO365/FF365</f>
        <v>1</v>
      </c>
      <c r="GQ365" s="163"/>
      <c r="GR365" s="163"/>
      <c r="GS365" s="163"/>
      <c r="GT365" s="163"/>
      <c r="GU365" s="164"/>
      <c r="GV365" s="164"/>
      <c r="GW365" s="164"/>
      <c r="GX365" s="164">
        <v>0</v>
      </c>
      <c r="GY365" s="164"/>
      <c r="GZ365" s="164"/>
      <c r="HA365" s="164"/>
      <c r="HB365" s="164"/>
      <c r="HC365" s="164"/>
      <c r="HD365" s="164"/>
      <c r="HE365" s="164"/>
      <c r="HF365" s="164"/>
      <c r="HG365" s="164"/>
      <c r="HH365" s="164"/>
      <c r="HI365" s="164"/>
      <c r="HJ365" s="164">
        <v>0</v>
      </c>
      <c r="HK365" s="164"/>
      <c r="HL365" s="164"/>
      <c r="HM365" s="164"/>
      <c r="HN365" s="164">
        <v>0</v>
      </c>
      <c r="HO365" s="164">
        <v>0</v>
      </c>
      <c r="HP365" s="164"/>
      <c r="HQ365" s="164"/>
      <c r="HR365" s="164">
        <v>0</v>
      </c>
      <c r="HS365" s="164"/>
      <c r="HT365" s="164"/>
      <c r="HU365" s="164"/>
      <c r="HV365" s="164">
        <v>0</v>
      </c>
      <c r="HW365" s="164"/>
      <c r="HX365" s="164"/>
      <c r="HY365" s="164"/>
      <c r="HZ365" s="164">
        <v>0</v>
      </c>
      <c r="IA365" s="164"/>
      <c r="IB365" s="164"/>
      <c r="IC365" s="164"/>
      <c r="ID365" s="164">
        <v>0</v>
      </c>
      <c r="IE365" s="319" t="s">
        <v>427</v>
      </c>
      <c r="IF365" s="170"/>
      <c r="IG365" s="170"/>
      <c r="IH365" s="170"/>
    </row>
    <row r="366" spans="1:249" s="129" customFormat="1" ht="200.25" hidden="1" customHeight="1" x14ac:dyDescent="0.25">
      <c r="A366" s="129">
        <v>0</v>
      </c>
      <c r="B366" s="351" t="s">
        <v>428</v>
      </c>
      <c r="C366" s="172" t="s">
        <v>429</v>
      </c>
      <c r="D366" s="162"/>
      <c r="E366" s="163"/>
      <c r="F366" s="163"/>
      <c r="G366" s="163"/>
      <c r="H366" s="163"/>
      <c r="I366" s="352"/>
      <c r="J366" s="352"/>
      <c r="K366" s="163"/>
      <c r="L366" s="163"/>
      <c r="M366" s="163"/>
      <c r="N366" s="163"/>
      <c r="O366" s="352"/>
      <c r="P366" s="352"/>
      <c r="Q366" s="164"/>
      <c r="R366" s="164"/>
      <c r="S366" s="164"/>
      <c r="T366" s="164"/>
      <c r="U366" s="164"/>
      <c r="V366" s="164"/>
      <c r="W366" s="164"/>
      <c r="X366" s="259"/>
      <c r="Y366" s="259"/>
      <c r="Z366" s="164"/>
      <c r="AA366" s="164"/>
      <c r="AB366" s="164"/>
      <c r="AC366" s="164"/>
      <c r="AD366" s="164"/>
      <c r="AE366" s="164"/>
      <c r="AF366" s="164"/>
      <c r="AG366" s="164"/>
      <c r="AH366" s="164"/>
      <c r="AI366" s="164"/>
      <c r="AJ366" s="164"/>
      <c r="AK366" s="164"/>
      <c r="AL366" s="164"/>
      <c r="AM366" s="164"/>
      <c r="AN366" s="164"/>
      <c r="AO366" s="164"/>
      <c r="AP366" s="164"/>
      <c r="AQ366" s="164"/>
      <c r="AR366" s="164"/>
      <c r="AS366" s="164"/>
      <c r="AT366" s="164"/>
      <c r="AU366" s="164"/>
      <c r="AV366" s="164"/>
      <c r="AW366" s="259"/>
      <c r="AX366" s="259"/>
      <c r="AY366" s="164"/>
      <c r="AZ366" s="164"/>
      <c r="BA366" s="164"/>
      <c r="BB366" s="164"/>
      <c r="BC366" s="164"/>
      <c r="BD366" s="164"/>
      <c r="BE366" s="164"/>
      <c r="BF366" s="259"/>
      <c r="BG366" s="259"/>
      <c r="BH366" s="164"/>
      <c r="BI366" s="164"/>
      <c r="BJ366" s="164"/>
      <c r="BK366" s="164"/>
      <c r="BL366" s="164"/>
      <c r="BM366" s="164"/>
      <c r="BN366" s="164"/>
      <c r="BO366" s="164"/>
      <c r="BP366" s="164"/>
      <c r="BQ366" s="164"/>
      <c r="BR366" s="164"/>
      <c r="BS366" s="164"/>
      <c r="BT366" s="164"/>
      <c r="BU366" s="164"/>
      <c r="BV366" s="164"/>
      <c r="BW366" s="164"/>
      <c r="BX366" s="164"/>
      <c r="BY366" s="164"/>
      <c r="BZ366" s="259"/>
      <c r="CA366" s="259"/>
      <c r="CB366" s="144">
        <f>CD366</f>
        <v>0</v>
      </c>
      <c r="CC366" s="164"/>
      <c r="CD366" s="164">
        <v>0</v>
      </c>
      <c r="CE366" s="164"/>
      <c r="CF366" s="164"/>
      <c r="CG366" s="164"/>
      <c r="CH366" s="164"/>
      <c r="CI366" s="164"/>
      <c r="CJ366" s="164"/>
      <c r="CK366" s="164"/>
      <c r="CL366" s="259"/>
      <c r="CM366" s="259"/>
      <c r="CN366" s="259"/>
      <c r="CO366" s="259"/>
      <c r="CP366" s="259"/>
      <c r="CQ366" s="164"/>
      <c r="CR366" s="164"/>
      <c r="CS366" s="164"/>
      <c r="CT366" s="164"/>
      <c r="CU366" s="164"/>
      <c r="CV366" s="164"/>
      <c r="CW366" s="164">
        <f>CX366+CY366</f>
        <v>0</v>
      </c>
      <c r="CX366" s="164"/>
      <c r="CY366" s="164">
        <v>0</v>
      </c>
      <c r="CZ366" s="164">
        <f>DA366+DB366</f>
        <v>100000</v>
      </c>
      <c r="DA366" s="164"/>
      <c r="DB366" s="164">
        <v>100000</v>
      </c>
      <c r="DC366" s="164"/>
      <c r="DD366" s="164"/>
      <c r="DE366" s="164"/>
      <c r="DF366" s="164">
        <v>0</v>
      </c>
      <c r="DG366" s="164"/>
      <c r="DH366" s="164">
        <v>0</v>
      </c>
      <c r="DI366" s="164">
        <v>0</v>
      </c>
      <c r="DJ366" s="164"/>
      <c r="DK366" s="164">
        <v>0</v>
      </c>
      <c r="DL366" s="164">
        <v>0</v>
      </c>
      <c r="DM366" s="164"/>
      <c r="DN366" s="164">
        <v>0</v>
      </c>
      <c r="DO366" s="164">
        <v>0</v>
      </c>
      <c r="DP366" s="164"/>
      <c r="DQ366" s="164">
        <v>0</v>
      </c>
      <c r="DR366" s="164">
        <v>0</v>
      </c>
      <c r="DS366" s="164"/>
      <c r="DT366" s="164">
        <v>0</v>
      </c>
      <c r="DU366" s="164">
        <f>DV366+DW366</f>
        <v>100000</v>
      </c>
      <c r="DV366" s="164"/>
      <c r="DW366" s="164">
        <v>100000</v>
      </c>
      <c r="DX366" s="164">
        <f>DY366+DZ366</f>
        <v>100000</v>
      </c>
      <c r="DY366" s="164"/>
      <c r="DZ366" s="164">
        <v>100000</v>
      </c>
      <c r="EA366" s="164"/>
      <c r="EB366" s="164"/>
      <c r="EC366" s="164"/>
      <c r="ED366" s="164">
        <f>EF366</f>
        <v>-100000</v>
      </c>
      <c r="EE366" s="164">
        <f>EH366-DV366</f>
        <v>0</v>
      </c>
      <c r="EF366" s="164">
        <f>EJ366-DW366</f>
        <v>-100000</v>
      </c>
      <c r="EG366" s="144">
        <f>EJ366</f>
        <v>0</v>
      </c>
      <c r="EH366" s="164"/>
      <c r="EI366" s="164"/>
      <c r="EJ366" s="144">
        <v>0</v>
      </c>
      <c r="EK366" s="144">
        <f>EN366</f>
        <v>0</v>
      </c>
      <c r="EL366" s="164"/>
      <c r="EM366" s="164"/>
      <c r="EN366" s="144">
        <f>EV366-EJ366</f>
        <v>0</v>
      </c>
      <c r="EO366" s="144">
        <f>ER366</f>
        <v>0</v>
      </c>
      <c r="EP366" s="164"/>
      <c r="EQ366" s="164"/>
      <c r="ER366" s="144"/>
      <c r="ES366" s="144">
        <f>EV366</f>
        <v>0</v>
      </c>
      <c r="ET366" s="164"/>
      <c r="EU366" s="164"/>
      <c r="EV366" s="144">
        <f>EJ366</f>
        <v>0</v>
      </c>
      <c r="EW366" s="164">
        <f>EX366+EY366</f>
        <v>0</v>
      </c>
      <c r="EX366" s="164">
        <v>0</v>
      </c>
      <c r="EY366" s="164"/>
      <c r="EZ366" s="164">
        <f>FA366+FB366</f>
        <v>0</v>
      </c>
      <c r="FA366" s="164">
        <v>0</v>
      </c>
      <c r="FB366" s="164">
        <f>FF366-EY366</f>
        <v>0</v>
      </c>
      <c r="FC366" s="163">
        <f>FD366+FF366</f>
        <v>0</v>
      </c>
      <c r="FD366" s="163">
        <v>0</v>
      </c>
      <c r="FE366" s="163"/>
      <c r="FF366" s="163">
        <v>0</v>
      </c>
      <c r="FG366" s="163">
        <v>0</v>
      </c>
      <c r="FH366" s="163"/>
      <c r="FI366" s="163"/>
      <c r="FJ366" s="163">
        <v>0</v>
      </c>
      <c r="FK366" s="143">
        <f>FN366</f>
        <v>0</v>
      </c>
      <c r="FL366" s="163"/>
      <c r="FM366" s="163"/>
      <c r="FN366" s="143"/>
      <c r="FO366" s="163">
        <f>FP366+FR366</f>
        <v>0</v>
      </c>
      <c r="FP366" s="163">
        <v>0</v>
      </c>
      <c r="FQ366" s="163"/>
      <c r="FR366" s="163">
        <v>0</v>
      </c>
      <c r="FS366" s="163"/>
      <c r="FT366" s="163"/>
      <c r="FU366" s="163"/>
      <c r="FV366" s="163"/>
      <c r="FW366" s="164"/>
      <c r="FX366" s="164"/>
      <c r="FY366" s="163"/>
      <c r="FZ366" s="163"/>
      <c r="GA366" s="163"/>
      <c r="GB366" s="163"/>
      <c r="GC366" s="163"/>
      <c r="GD366" s="163"/>
      <c r="GE366" s="163"/>
      <c r="GF366" s="163"/>
      <c r="GG366" s="163"/>
      <c r="GH366" s="163"/>
      <c r="GI366" s="163"/>
      <c r="GJ366" s="577" t="e">
        <f t="shared" si="786"/>
        <v>#DIV/0!</v>
      </c>
      <c r="GK366" s="163"/>
      <c r="GL366" s="163"/>
      <c r="GM366" s="163"/>
      <c r="GN366" s="163"/>
      <c r="GO366" s="163"/>
      <c r="GP366" s="163"/>
      <c r="GQ366" s="163"/>
      <c r="GR366" s="163"/>
      <c r="GS366" s="163"/>
      <c r="GT366" s="163"/>
      <c r="GU366" s="164">
        <f>GV366+GX366</f>
        <v>0</v>
      </c>
      <c r="GV366" s="164">
        <v>0</v>
      </c>
      <c r="GW366" s="164"/>
      <c r="GX366" s="164">
        <v>0</v>
      </c>
      <c r="GY366" s="164"/>
      <c r="GZ366" s="164"/>
      <c r="HA366" s="164"/>
      <c r="HB366" s="164"/>
      <c r="HC366" s="164"/>
      <c r="HD366" s="164"/>
      <c r="HE366" s="164"/>
      <c r="HF366" s="164"/>
      <c r="HG366" s="164">
        <f>HH366+HJ366</f>
        <v>0</v>
      </c>
      <c r="HH366" s="164">
        <v>0</v>
      </c>
      <c r="HI366" s="164"/>
      <c r="HJ366" s="164">
        <v>0</v>
      </c>
      <c r="HK366" s="164">
        <f>HL366+HN366</f>
        <v>0</v>
      </c>
      <c r="HL366" s="164">
        <v>0</v>
      </c>
      <c r="HM366" s="164"/>
      <c r="HN366" s="164">
        <v>0</v>
      </c>
      <c r="HO366" s="164">
        <f>HP366+HR366</f>
        <v>0</v>
      </c>
      <c r="HP366" s="164">
        <v>0</v>
      </c>
      <c r="HQ366" s="164"/>
      <c r="HR366" s="164">
        <v>0</v>
      </c>
      <c r="HS366" s="164">
        <f>HT366+HV366</f>
        <v>0</v>
      </c>
      <c r="HT366" s="164">
        <v>0</v>
      </c>
      <c r="HU366" s="164"/>
      <c r="HV366" s="164">
        <v>0</v>
      </c>
      <c r="HW366" s="164">
        <f>HX366+HZ366</f>
        <v>0</v>
      </c>
      <c r="HX366" s="164">
        <v>0</v>
      </c>
      <c r="HY366" s="164"/>
      <c r="HZ366" s="164">
        <v>0</v>
      </c>
      <c r="IA366" s="164">
        <f>IB366+ID366</f>
        <v>0</v>
      </c>
      <c r="IB366" s="164">
        <v>0</v>
      </c>
      <c r="IC366" s="164"/>
      <c r="ID366" s="164">
        <v>0</v>
      </c>
      <c r="IE366" s="319" t="s">
        <v>430</v>
      </c>
      <c r="IF366" s="170"/>
      <c r="IG366" s="170"/>
      <c r="IH366" s="170"/>
    </row>
    <row r="367" spans="1:249" s="129" customFormat="1" ht="102.75" hidden="1" customHeight="1" x14ac:dyDescent="0.25">
      <c r="B367" s="351" t="s">
        <v>221</v>
      </c>
      <c r="C367" s="101" t="s">
        <v>431</v>
      </c>
      <c r="D367" s="162"/>
      <c r="E367" s="163"/>
      <c r="F367" s="163"/>
      <c r="G367" s="163"/>
      <c r="H367" s="163"/>
      <c r="I367" s="352"/>
      <c r="J367" s="352"/>
      <c r="K367" s="163"/>
      <c r="L367" s="163"/>
      <c r="M367" s="163"/>
      <c r="N367" s="163"/>
      <c r="O367" s="352"/>
      <c r="P367" s="352"/>
      <c r="Q367" s="164"/>
      <c r="R367" s="164"/>
      <c r="S367" s="164"/>
      <c r="T367" s="164"/>
      <c r="U367" s="164"/>
      <c r="V367" s="164"/>
      <c r="W367" s="164"/>
      <c r="X367" s="259"/>
      <c r="Y367" s="259"/>
      <c r="Z367" s="164"/>
      <c r="AA367" s="164"/>
      <c r="AB367" s="164"/>
      <c r="AC367" s="164"/>
      <c r="AD367" s="164"/>
      <c r="AE367" s="164"/>
      <c r="AF367" s="164"/>
      <c r="AG367" s="164"/>
      <c r="AH367" s="164"/>
      <c r="AI367" s="164"/>
      <c r="AJ367" s="164"/>
      <c r="AK367" s="164"/>
      <c r="AL367" s="164"/>
      <c r="AM367" s="164"/>
      <c r="AN367" s="164"/>
      <c r="AO367" s="164"/>
      <c r="AP367" s="164"/>
      <c r="AQ367" s="164"/>
      <c r="AR367" s="164"/>
      <c r="AS367" s="164"/>
      <c r="AT367" s="164"/>
      <c r="AU367" s="164"/>
      <c r="AV367" s="164"/>
      <c r="AW367" s="259"/>
      <c r="AX367" s="259"/>
      <c r="AY367" s="164"/>
      <c r="AZ367" s="164"/>
      <c r="BA367" s="164"/>
      <c r="BB367" s="164"/>
      <c r="BC367" s="164"/>
      <c r="BD367" s="164"/>
      <c r="BE367" s="164"/>
      <c r="BF367" s="259"/>
      <c r="BG367" s="259"/>
      <c r="BH367" s="164"/>
      <c r="BI367" s="164"/>
      <c r="BJ367" s="164"/>
      <c r="BK367" s="164"/>
      <c r="BL367" s="164"/>
      <c r="BM367" s="164"/>
      <c r="BN367" s="164"/>
      <c r="BO367" s="164"/>
      <c r="BP367" s="164"/>
      <c r="BQ367" s="164"/>
      <c r="BR367" s="164"/>
      <c r="BS367" s="164"/>
      <c r="BT367" s="164"/>
      <c r="BU367" s="164"/>
      <c r="BV367" s="164"/>
      <c r="BW367" s="164"/>
      <c r="BX367" s="164"/>
      <c r="BY367" s="164"/>
      <c r="BZ367" s="259"/>
      <c r="CA367" s="259"/>
      <c r="CB367" s="144"/>
      <c r="CC367" s="164"/>
      <c r="CD367" s="164"/>
      <c r="CE367" s="164"/>
      <c r="CF367" s="164"/>
      <c r="CG367" s="164"/>
      <c r="CH367" s="164"/>
      <c r="CI367" s="164"/>
      <c r="CJ367" s="164"/>
      <c r="CK367" s="164"/>
      <c r="CL367" s="259"/>
      <c r="CM367" s="259"/>
      <c r="CN367" s="259"/>
      <c r="CO367" s="259"/>
      <c r="CP367" s="259"/>
      <c r="CQ367" s="164"/>
      <c r="CR367" s="164"/>
      <c r="CS367" s="164"/>
      <c r="CT367" s="164"/>
      <c r="CU367" s="164"/>
      <c r="CV367" s="164"/>
      <c r="CW367" s="164"/>
      <c r="CX367" s="164"/>
      <c r="CY367" s="164"/>
      <c r="CZ367" s="164"/>
      <c r="DA367" s="164"/>
      <c r="DB367" s="164"/>
      <c r="DC367" s="164"/>
      <c r="DD367" s="164"/>
      <c r="DE367" s="164"/>
      <c r="DF367" s="164"/>
      <c r="DG367" s="164"/>
      <c r="DH367" s="164"/>
      <c r="DI367" s="164"/>
      <c r="DJ367" s="164"/>
      <c r="DK367" s="164"/>
      <c r="DL367" s="164"/>
      <c r="DM367" s="164"/>
      <c r="DN367" s="164"/>
      <c r="DO367" s="164"/>
      <c r="DP367" s="164"/>
      <c r="DQ367" s="164"/>
      <c r="DR367" s="164"/>
      <c r="DS367" s="164"/>
      <c r="DT367" s="164"/>
      <c r="DU367" s="164"/>
      <c r="DV367" s="164"/>
      <c r="DW367" s="164"/>
      <c r="DX367" s="164"/>
      <c r="DY367" s="164"/>
      <c r="DZ367" s="164"/>
      <c r="EA367" s="164"/>
      <c r="EB367" s="164"/>
      <c r="EC367" s="164"/>
      <c r="ED367" s="164"/>
      <c r="EE367" s="164"/>
      <c r="EF367" s="164"/>
      <c r="EG367" s="144">
        <f>EJ367</f>
        <v>69745.580799999996</v>
      </c>
      <c r="EH367" s="164"/>
      <c r="EI367" s="164"/>
      <c r="EJ367" s="144">
        <v>69745.580799999996</v>
      </c>
      <c r="EK367" s="144">
        <f>EN367</f>
        <v>0</v>
      </c>
      <c r="EL367" s="164"/>
      <c r="EM367" s="164"/>
      <c r="EN367" s="144"/>
      <c r="EO367" s="144"/>
      <c r="EP367" s="164"/>
      <c r="EQ367" s="164"/>
      <c r="ER367" s="144"/>
      <c r="ES367" s="144">
        <f>EV367</f>
        <v>0</v>
      </c>
      <c r="ET367" s="164"/>
      <c r="EU367" s="164"/>
      <c r="EV367" s="144"/>
      <c r="EW367" s="164">
        <f>EX367+EY367</f>
        <v>70000</v>
      </c>
      <c r="EX367" s="164"/>
      <c r="EY367" s="164">
        <v>70000</v>
      </c>
      <c r="EZ367" s="164"/>
      <c r="FA367" s="164"/>
      <c r="FB367" s="164"/>
      <c r="FC367" s="163">
        <f>FD367+FF367</f>
        <v>0</v>
      </c>
      <c r="FD367" s="163"/>
      <c r="FE367" s="163"/>
      <c r="FF367" s="163">
        <v>0</v>
      </c>
      <c r="FG367" s="163">
        <f>FH367+FI367+FJ367</f>
        <v>0</v>
      </c>
      <c r="FH367" s="163"/>
      <c r="FI367" s="163"/>
      <c r="FJ367" s="163">
        <f>FR367-FF367</f>
        <v>0</v>
      </c>
      <c r="FK367" s="143"/>
      <c r="FL367" s="163"/>
      <c r="FM367" s="163"/>
      <c r="FN367" s="143"/>
      <c r="FO367" s="163">
        <f>FP367+FR367</f>
        <v>0</v>
      </c>
      <c r="FP367" s="163"/>
      <c r="FQ367" s="163"/>
      <c r="FR367" s="163">
        <v>0</v>
      </c>
      <c r="FS367" s="163"/>
      <c r="FT367" s="163"/>
      <c r="FU367" s="163"/>
      <c r="FV367" s="163"/>
      <c r="FW367" s="164"/>
      <c r="FX367" s="164"/>
      <c r="FY367" s="163"/>
      <c r="FZ367" s="163"/>
      <c r="GA367" s="163"/>
      <c r="GB367" s="163"/>
      <c r="GC367" s="163"/>
      <c r="GD367" s="163"/>
      <c r="GE367" s="163"/>
      <c r="GF367" s="163"/>
      <c r="GG367" s="163"/>
      <c r="GH367" s="163"/>
      <c r="GI367" s="163"/>
      <c r="GJ367" s="577" t="e">
        <f t="shared" si="786"/>
        <v>#DIV/0!</v>
      </c>
      <c r="GK367" s="163"/>
      <c r="GL367" s="163"/>
      <c r="GM367" s="163"/>
      <c r="GN367" s="163"/>
      <c r="GO367" s="163"/>
      <c r="GP367" s="163"/>
      <c r="GQ367" s="163"/>
      <c r="GR367" s="163"/>
      <c r="GS367" s="163"/>
      <c r="GT367" s="163"/>
      <c r="GU367" s="163">
        <f>GX367</f>
        <v>4.2999999999999999E-4</v>
      </c>
      <c r="GV367" s="164"/>
      <c r="GW367" s="164"/>
      <c r="GX367" s="163">
        <v>4.2999999999999999E-4</v>
      </c>
      <c r="GY367" s="164"/>
      <c r="GZ367" s="164"/>
      <c r="HA367" s="164"/>
      <c r="HB367" s="164"/>
      <c r="HC367" s="164"/>
      <c r="HD367" s="164"/>
      <c r="HE367" s="164"/>
      <c r="HF367" s="164"/>
      <c r="HG367" s="163">
        <f>HH367+HI367+HJ367</f>
        <v>-4.2999999999999999E-4</v>
      </c>
      <c r="HH367" s="164"/>
      <c r="HI367" s="164"/>
      <c r="HJ367" s="163">
        <f>HR367-GX367</f>
        <v>-4.2999999999999999E-4</v>
      </c>
      <c r="HK367" s="164">
        <f>HL367+HN367</f>
        <v>0</v>
      </c>
      <c r="HL367" s="164"/>
      <c r="HM367" s="164"/>
      <c r="HN367" s="164">
        <f>IH367-HB367</f>
        <v>0</v>
      </c>
      <c r="HO367" s="164">
        <f>HP367+HR367</f>
        <v>0</v>
      </c>
      <c r="HP367" s="164"/>
      <c r="HQ367" s="164"/>
      <c r="HR367" s="163">
        <f>GX367-0.00043</f>
        <v>0</v>
      </c>
      <c r="HS367" s="164">
        <f>HT367+HV367</f>
        <v>0</v>
      </c>
      <c r="HT367" s="164"/>
      <c r="HU367" s="164"/>
      <c r="HV367" s="164">
        <v>0</v>
      </c>
      <c r="HW367" s="164">
        <f>HX367+HZ367</f>
        <v>0</v>
      </c>
      <c r="HX367" s="164"/>
      <c r="HY367" s="164"/>
      <c r="HZ367" s="164">
        <f>IT367-HN367</f>
        <v>0</v>
      </c>
      <c r="IA367" s="164">
        <f>IB367+ID367</f>
        <v>0</v>
      </c>
      <c r="IB367" s="164"/>
      <c r="IC367" s="164"/>
      <c r="ID367" s="164">
        <v>0</v>
      </c>
      <c r="IE367" s="319" t="s">
        <v>432</v>
      </c>
      <c r="IF367" s="170"/>
      <c r="IG367" s="170"/>
      <c r="IH367" s="170"/>
    </row>
    <row r="368" spans="1:249" s="129" customFormat="1" ht="54" hidden="1" customHeight="1" x14ac:dyDescent="0.25">
      <c r="B368" s="351" t="s">
        <v>433</v>
      </c>
      <c r="C368" s="172" t="s">
        <v>434</v>
      </c>
      <c r="D368" s="162"/>
      <c r="E368" s="163"/>
      <c r="F368" s="163"/>
      <c r="G368" s="163"/>
      <c r="H368" s="163"/>
      <c r="I368" s="352"/>
      <c r="J368" s="352"/>
      <c r="K368" s="163"/>
      <c r="L368" s="163"/>
      <c r="M368" s="163"/>
      <c r="N368" s="163"/>
      <c r="O368" s="352"/>
      <c r="P368" s="352"/>
      <c r="Q368" s="164"/>
      <c r="R368" s="164"/>
      <c r="S368" s="164"/>
      <c r="T368" s="164"/>
      <c r="U368" s="164"/>
      <c r="V368" s="164"/>
      <c r="W368" s="164"/>
      <c r="X368" s="259"/>
      <c r="Y368" s="259"/>
      <c r="Z368" s="164"/>
      <c r="AA368" s="164"/>
      <c r="AB368" s="164"/>
      <c r="AC368" s="164"/>
      <c r="AD368" s="164"/>
      <c r="AE368" s="164"/>
      <c r="AF368" s="164"/>
      <c r="AG368" s="164"/>
      <c r="AH368" s="164"/>
      <c r="AI368" s="164"/>
      <c r="AJ368" s="164"/>
      <c r="AK368" s="164"/>
      <c r="AL368" s="164"/>
      <c r="AM368" s="164"/>
      <c r="AN368" s="164"/>
      <c r="AO368" s="164"/>
      <c r="AP368" s="164"/>
      <c r="AQ368" s="164"/>
      <c r="AR368" s="164"/>
      <c r="AS368" s="164"/>
      <c r="AT368" s="164"/>
      <c r="AU368" s="164"/>
      <c r="AV368" s="164"/>
      <c r="AW368" s="259"/>
      <c r="AX368" s="259"/>
      <c r="AY368" s="164"/>
      <c r="AZ368" s="164"/>
      <c r="BA368" s="164"/>
      <c r="BB368" s="164"/>
      <c r="BC368" s="164"/>
      <c r="BD368" s="164"/>
      <c r="BE368" s="164"/>
      <c r="BF368" s="259"/>
      <c r="BG368" s="259"/>
      <c r="BH368" s="164"/>
      <c r="BI368" s="164"/>
      <c r="BJ368" s="164"/>
      <c r="BK368" s="164"/>
      <c r="BL368" s="164"/>
      <c r="BM368" s="164"/>
      <c r="BN368" s="164"/>
      <c r="BO368" s="164"/>
      <c r="BP368" s="164"/>
      <c r="BQ368" s="164"/>
      <c r="BR368" s="164"/>
      <c r="BS368" s="164"/>
      <c r="BT368" s="164"/>
      <c r="BU368" s="164"/>
      <c r="BV368" s="164"/>
      <c r="BW368" s="164"/>
      <c r="BX368" s="164"/>
      <c r="BY368" s="164"/>
      <c r="BZ368" s="259"/>
      <c r="CA368" s="259"/>
      <c r="CB368" s="144"/>
      <c r="CC368" s="164"/>
      <c r="CD368" s="164"/>
      <c r="CE368" s="164"/>
      <c r="CF368" s="164"/>
      <c r="CG368" s="164"/>
      <c r="CH368" s="164"/>
      <c r="CI368" s="164"/>
      <c r="CJ368" s="164"/>
      <c r="CK368" s="164"/>
      <c r="CL368" s="259"/>
      <c r="CM368" s="259"/>
      <c r="CN368" s="259"/>
      <c r="CO368" s="259"/>
      <c r="CP368" s="259"/>
      <c r="CQ368" s="164"/>
      <c r="CR368" s="164"/>
      <c r="CS368" s="164"/>
      <c r="CT368" s="164"/>
      <c r="CU368" s="164"/>
      <c r="CV368" s="164"/>
      <c r="CW368" s="164"/>
      <c r="CX368" s="164"/>
      <c r="CY368" s="164"/>
      <c r="CZ368" s="164"/>
      <c r="DA368" s="164"/>
      <c r="DB368" s="164"/>
      <c r="DC368" s="164"/>
      <c r="DD368" s="164"/>
      <c r="DE368" s="164"/>
      <c r="DF368" s="164"/>
      <c r="DG368" s="164"/>
      <c r="DH368" s="164"/>
      <c r="DI368" s="164"/>
      <c r="DJ368" s="164"/>
      <c r="DK368" s="164"/>
      <c r="DL368" s="164"/>
      <c r="DM368" s="164"/>
      <c r="DN368" s="164"/>
      <c r="DO368" s="164"/>
      <c r="DP368" s="164"/>
      <c r="DQ368" s="164"/>
      <c r="DR368" s="164"/>
      <c r="DS368" s="164"/>
      <c r="DT368" s="164"/>
      <c r="DU368" s="164"/>
      <c r="DV368" s="164"/>
      <c r="DW368" s="164"/>
      <c r="DX368" s="164"/>
      <c r="DY368" s="164"/>
      <c r="DZ368" s="164"/>
      <c r="EA368" s="164"/>
      <c r="EB368" s="164"/>
      <c r="EC368" s="164"/>
      <c r="ED368" s="164"/>
      <c r="EE368" s="164"/>
      <c r="EF368" s="164"/>
      <c r="EG368" s="144">
        <f>EJ368</f>
        <v>0</v>
      </c>
      <c r="EH368" s="164"/>
      <c r="EI368" s="164"/>
      <c r="EJ368" s="144"/>
      <c r="EK368" s="144">
        <f>EN368</f>
        <v>0</v>
      </c>
      <c r="EL368" s="164"/>
      <c r="EM368" s="164"/>
      <c r="EN368" s="144"/>
      <c r="EO368" s="144"/>
      <c r="EP368" s="164"/>
      <c r="EQ368" s="164"/>
      <c r="ER368" s="144"/>
      <c r="ES368" s="144">
        <f>EV368</f>
        <v>0</v>
      </c>
      <c r="ET368" s="164"/>
      <c r="EU368" s="164"/>
      <c r="EV368" s="144"/>
      <c r="EW368" s="164"/>
      <c r="EX368" s="164"/>
      <c r="EY368" s="164"/>
      <c r="EZ368" s="164"/>
      <c r="FA368" s="164"/>
      <c r="FB368" s="164"/>
      <c r="FC368" s="163">
        <f>FD368+FF368</f>
        <v>0</v>
      </c>
      <c r="FD368" s="163"/>
      <c r="FE368" s="163"/>
      <c r="FF368" s="163"/>
      <c r="FG368" s="163">
        <v>0</v>
      </c>
      <c r="FH368" s="163"/>
      <c r="FI368" s="163"/>
      <c r="FJ368" s="163">
        <f>FR368-FF368</f>
        <v>0</v>
      </c>
      <c r="FK368" s="143"/>
      <c r="FL368" s="163"/>
      <c r="FM368" s="163"/>
      <c r="FN368" s="143"/>
      <c r="FO368" s="163">
        <f>FP368+FR368</f>
        <v>0</v>
      </c>
      <c r="FP368" s="163"/>
      <c r="FQ368" s="163"/>
      <c r="FR368" s="163"/>
      <c r="FS368" s="163"/>
      <c r="FT368" s="164"/>
      <c r="FU368" s="163"/>
      <c r="FV368" s="164"/>
      <c r="FW368" s="164"/>
      <c r="FX368" s="164"/>
      <c r="FY368" s="163"/>
      <c r="FZ368" s="164"/>
      <c r="GA368" s="163"/>
      <c r="GB368" s="164"/>
      <c r="GC368" s="163"/>
      <c r="GD368" s="164"/>
      <c r="GE368" s="163"/>
      <c r="GF368" s="164"/>
      <c r="GG368" s="163"/>
      <c r="GH368" s="164"/>
      <c r="GI368" s="163"/>
      <c r="GJ368" s="577" t="e">
        <f t="shared" si="786"/>
        <v>#DIV/0!</v>
      </c>
      <c r="GK368" s="163"/>
      <c r="GL368" s="164"/>
      <c r="GM368" s="163"/>
      <c r="GN368" s="164"/>
      <c r="GO368" s="163"/>
      <c r="GP368" s="164"/>
      <c r="GQ368" s="164"/>
      <c r="GR368" s="164"/>
      <c r="GS368" s="164"/>
      <c r="GT368" s="164"/>
      <c r="GU368" s="164">
        <f>GV368+GX368</f>
        <v>0</v>
      </c>
      <c r="GV368" s="164"/>
      <c r="GW368" s="164"/>
      <c r="GX368" s="164">
        <v>0</v>
      </c>
      <c r="GY368" s="164"/>
      <c r="GZ368" s="164"/>
      <c r="HA368" s="164"/>
      <c r="HB368" s="164"/>
      <c r="HC368" s="164"/>
      <c r="HD368" s="164"/>
      <c r="HE368" s="164"/>
      <c r="HF368" s="164"/>
      <c r="HG368" s="164">
        <f>HH368+HJ368</f>
        <v>0</v>
      </c>
      <c r="HH368" s="164"/>
      <c r="HI368" s="164"/>
      <c r="HJ368" s="164"/>
      <c r="HK368" s="164">
        <f>HL368+HN368</f>
        <v>0</v>
      </c>
      <c r="HL368" s="164"/>
      <c r="HM368" s="164"/>
      <c r="HN368" s="164"/>
      <c r="HO368" s="164">
        <f>HP368+HR368</f>
        <v>0</v>
      </c>
      <c r="HP368" s="164"/>
      <c r="HQ368" s="164"/>
      <c r="HR368" s="164">
        <v>0</v>
      </c>
      <c r="HS368" s="164">
        <f>HT368+HV368</f>
        <v>0</v>
      </c>
      <c r="HT368" s="164"/>
      <c r="HU368" s="164"/>
      <c r="HV368" s="164">
        <v>0</v>
      </c>
      <c r="HW368" s="164">
        <f>HX368+HZ368</f>
        <v>0</v>
      </c>
      <c r="HX368" s="164"/>
      <c r="HY368" s="164"/>
      <c r="HZ368" s="164"/>
      <c r="IA368" s="164">
        <f>IB368+ID368</f>
        <v>0</v>
      </c>
      <c r="IB368" s="164"/>
      <c r="IC368" s="164"/>
      <c r="ID368" s="164">
        <v>0</v>
      </c>
      <c r="IE368" s="319"/>
      <c r="IF368" s="170"/>
      <c r="IG368" s="170"/>
      <c r="IH368" s="170"/>
    </row>
    <row r="369" spans="2:242" s="129" customFormat="1" ht="113.25" hidden="1" customHeight="1" x14ac:dyDescent="0.25">
      <c r="B369" s="351" t="s">
        <v>221</v>
      </c>
      <c r="C369" s="101" t="s">
        <v>435</v>
      </c>
      <c r="D369" s="162"/>
      <c r="E369" s="163"/>
      <c r="F369" s="163"/>
      <c r="G369" s="163"/>
      <c r="H369" s="163"/>
      <c r="I369" s="352"/>
      <c r="J369" s="352"/>
      <c r="K369" s="163"/>
      <c r="L369" s="163"/>
      <c r="M369" s="163"/>
      <c r="N369" s="163"/>
      <c r="O369" s="352"/>
      <c r="P369" s="352"/>
      <c r="Q369" s="164"/>
      <c r="R369" s="164"/>
      <c r="S369" s="164"/>
      <c r="T369" s="164"/>
      <c r="U369" s="164"/>
      <c r="V369" s="164"/>
      <c r="W369" s="164"/>
      <c r="X369" s="259"/>
      <c r="Y369" s="259"/>
      <c r="Z369" s="164"/>
      <c r="AA369" s="164"/>
      <c r="AB369" s="164"/>
      <c r="AC369" s="164"/>
      <c r="AD369" s="164"/>
      <c r="AE369" s="164"/>
      <c r="AF369" s="164"/>
      <c r="AG369" s="164"/>
      <c r="AH369" s="164"/>
      <c r="AI369" s="164"/>
      <c r="AJ369" s="164"/>
      <c r="AK369" s="164"/>
      <c r="AL369" s="164"/>
      <c r="AM369" s="164"/>
      <c r="AN369" s="164"/>
      <c r="AO369" s="164"/>
      <c r="AP369" s="164"/>
      <c r="AQ369" s="164"/>
      <c r="AR369" s="164"/>
      <c r="AS369" s="164"/>
      <c r="AT369" s="164"/>
      <c r="AU369" s="164"/>
      <c r="AV369" s="164"/>
      <c r="AW369" s="259"/>
      <c r="AX369" s="259"/>
      <c r="AY369" s="164"/>
      <c r="AZ369" s="164"/>
      <c r="BA369" s="164"/>
      <c r="BB369" s="164"/>
      <c r="BC369" s="164"/>
      <c r="BD369" s="164"/>
      <c r="BE369" s="164"/>
      <c r="BF369" s="259"/>
      <c r="BG369" s="259"/>
      <c r="BH369" s="164"/>
      <c r="BI369" s="164"/>
      <c r="BJ369" s="164"/>
      <c r="BK369" s="164"/>
      <c r="BL369" s="164"/>
      <c r="BM369" s="164"/>
      <c r="BN369" s="164"/>
      <c r="BO369" s="164"/>
      <c r="BP369" s="164"/>
      <c r="BQ369" s="164"/>
      <c r="BR369" s="164"/>
      <c r="BS369" s="164"/>
      <c r="BT369" s="164"/>
      <c r="BU369" s="164"/>
      <c r="BV369" s="164"/>
      <c r="BW369" s="164"/>
      <c r="BX369" s="164"/>
      <c r="BY369" s="164"/>
      <c r="BZ369" s="259"/>
      <c r="CA369" s="259"/>
      <c r="CB369" s="144"/>
      <c r="CC369" s="164"/>
      <c r="CD369" s="164"/>
      <c r="CE369" s="164"/>
      <c r="CF369" s="164"/>
      <c r="CG369" s="164"/>
      <c r="CH369" s="164"/>
      <c r="CI369" s="164"/>
      <c r="CJ369" s="164"/>
      <c r="CK369" s="164"/>
      <c r="CL369" s="259"/>
      <c r="CM369" s="259"/>
      <c r="CN369" s="259"/>
      <c r="CO369" s="259"/>
      <c r="CP369" s="259"/>
      <c r="CQ369" s="164"/>
      <c r="CR369" s="164"/>
      <c r="CS369" s="164"/>
      <c r="CT369" s="164"/>
      <c r="CU369" s="164"/>
      <c r="CV369" s="164"/>
      <c r="CW369" s="164"/>
      <c r="CX369" s="164"/>
      <c r="CY369" s="164"/>
      <c r="CZ369" s="164"/>
      <c r="DA369" s="164"/>
      <c r="DB369" s="164"/>
      <c r="DC369" s="164"/>
      <c r="DD369" s="164"/>
      <c r="DE369" s="164"/>
      <c r="DF369" s="164"/>
      <c r="DG369" s="164"/>
      <c r="DH369" s="164"/>
      <c r="DI369" s="164"/>
      <c r="DJ369" s="164"/>
      <c r="DK369" s="164"/>
      <c r="DL369" s="164"/>
      <c r="DM369" s="164"/>
      <c r="DN369" s="164"/>
      <c r="DO369" s="164"/>
      <c r="DP369" s="164"/>
      <c r="DQ369" s="164"/>
      <c r="DR369" s="164"/>
      <c r="DS369" s="164"/>
      <c r="DT369" s="164"/>
      <c r="DU369" s="164"/>
      <c r="DV369" s="164"/>
      <c r="DW369" s="164"/>
      <c r="DX369" s="164"/>
      <c r="DY369" s="164"/>
      <c r="DZ369" s="164"/>
      <c r="EA369" s="164"/>
      <c r="EB369" s="164"/>
      <c r="EC369" s="164"/>
      <c r="ED369" s="164"/>
      <c r="EE369" s="164"/>
      <c r="EF369" s="164"/>
      <c r="EG369" s="144">
        <v>0</v>
      </c>
      <c r="EH369" s="164"/>
      <c r="EI369" s="164"/>
      <c r="EJ369" s="144">
        <v>0</v>
      </c>
      <c r="EK369" s="144">
        <f>EN369</f>
        <v>0</v>
      </c>
      <c r="EL369" s="164"/>
      <c r="EM369" s="164"/>
      <c r="EN369" s="144"/>
      <c r="EO369" s="144"/>
      <c r="EP369" s="164"/>
      <c r="EQ369" s="164"/>
      <c r="ER369" s="144"/>
      <c r="ES369" s="144">
        <f>EV369</f>
        <v>0</v>
      </c>
      <c r="ET369" s="164"/>
      <c r="EU369" s="164"/>
      <c r="EV369" s="144"/>
      <c r="EW369" s="164">
        <f>EX369+EY369</f>
        <v>70000</v>
      </c>
      <c r="EX369" s="164"/>
      <c r="EY369" s="164">
        <v>70000</v>
      </c>
      <c r="EZ369" s="164"/>
      <c r="FA369" s="164"/>
      <c r="FB369" s="164"/>
      <c r="FC369" s="163">
        <f>FD369+FF369</f>
        <v>0</v>
      </c>
      <c r="FD369" s="163"/>
      <c r="FE369" s="163"/>
      <c r="FF369" s="163">
        <v>0</v>
      </c>
      <c r="FG369" s="163">
        <v>0</v>
      </c>
      <c r="FH369" s="163"/>
      <c r="FI369" s="163"/>
      <c r="FJ369" s="163">
        <f>FR369-FF369</f>
        <v>0</v>
      </c>
      <c r="FK369" s="143"/>
      <c r="FL369" s="163"/>
      <c r="FM369" s="163"/>
      <c r="FN369" s="143"/>
      <c r="FO369" s="163">
        <v>0</v>
      </c>
      <c r="FP369" s="163"/>
      <c r="FQ369" s="163"/>
      <c r="FR369" s="163">
        <v>0</v>
      </c>
      <c r="FS369" s="163"/>
      <c r="FT369" s="164"/>
      <c r="FU369" s="163"/>
      <c r="FV369" s="164"/>
      <c r="FW369" s="164"/>
      <c r="FX369" s="164"/>
      <c r="FY369" s="163"/>
      <c r="FZ369" s="164"/>
      <c r="GA369" s="163"/>
      <c r="GB369" s="164"/>
      <c r="GC369" s="163"/>
      <c r="GD369" s="164"/>
      <c r="GE369" s="163"/>
      <c r="GF369" s="164"/>
      <c r="GG369" s="163"/>
      <c r="GH369" s="164"/>
      <c r="GI369" s="163"/>
      <c r="GJ369" s="577" t="e">
        <f t="shared" si="786"/>
        <v>#DIV/0!</v>
      </c>
      <c r="GK369" s="163"/>
      <c r="GL369" s="164"/>
      <c r="GM369" s="163"/>
      <c r="GN369" s="164"/>
      <c r="GO369" s="163"/>
      <c r="GP369" s="164"/>
      <c r="GQ369" s="164"/>
      <c r="GR369" s="164"/>
      <c r="GS369" s="164"/>
      <c r="GT369" s="164"/>
      <c r="GU369" s="164">
        <f>GX369</f>
        <v>21003.74</v>
      </c>
      <c r="GV369" s="164"/>
      <c r="GW369" s="164"/>
      <c r="GX369" s="163">
        <v>21003.74</v>
      </c>
      <c r="GY369" s="164"/>
      <c r="GZ369" s="164"/>
      <c r="HA369" s="164"/>
      <c r="HB369" s="164"/>
      <c r="HC369" s="164"/>
      <c r="HD369" s="164"/>
      <c r="HE369" s="164"/>
      <c r="HF369" s="164"/>
      <c r="HG369" s="164">
        <f>HH369+HJ369</f>
        <v>0</v>
      </c>
      <c r="HH369" s="164"/>
      <c r="HI369" s="164"/>
      <c r="HJ369" s="164">
        <f>HR369-GX369</f>
        <v>0</v>
      </c>
      <c r="HK369" s="164">
        <f>HL369+HN369</f>
        <v>0</v>
      </c>
      <c r="HL369" s="164"/>
      <c r="HM369" s="164"/>
      <c r="HN369" s="164">
        <f>HR369-GX369</f>
        <v>0</v>
      </c>
      <c r="HO369" s="164">
        <f>HP369+HR369</f>
        <v>21003.74</v>
      </c>
      <c r="HP369" s="164"/>
      <c r="HQ369" s="164"/>
      <c r="HR369" s="164">
        <v>21003.74</v>
      </c>
      <c r="HS369" s="164">
        <f>HT369+HV369</f>
        <v>24908.941999999999</v>
      </c>
      <c r="HT369" s="164"/>
      <c r="HU369" s="164"/>
      <c r="HV369" s="164">
        <v>24908.941999999999</v>
      </c>
      <c r="HW369" s="164">
        <f>HX369+HZ369</f>
        <v>0</v>
      </c>
      <c r="HX369" s="164"/>
      <c r="HY369" s="164"/>
      <c r="HZ369" s="164">
        <f>ID369-HV369</f>
        <v>0</v>
      </c>
      <c r="IA369" s="164">
        <f>IB369+ID369</f>
        <v>24908.941999999999</v>
      </c>
      <c r="IB369" s="164"/>
      <c r="IC369" s="164"/>
      <c r="ID369" s="164">
        <v>24908.941999999999</v>
      </c>
      <c r="IE369" s="353" t="s">
        <v>436</v>
      </c>
      <c r="IF369" s="170"/>
      <c r="IG369" s="170"/>
      <c r="IH369" s="170"/>
    </row>
    <row r="370" spans="2:242" s="129" customFormat="1" ht="63" hidden="1" customHeight="1" x14ac:dyDescent="0.25">
      <c r="B370" s="351" t="s">
        <v>221</v>
      </c>
      <c r="C370" s="101" t="s">
        <v>434</v>
      </c>
      <c r="D370" s="162"/>
      <c r="E370" s="163"/>
      <c r="F370" s="163"/>
      <c r="G370" s="163"/>
      <c r="H370" s="163"/>
      <c r="I370" s="352"/>
      <c r="J370" s="352"/>
      <c r="K370" s="163"/>
      <c r="L370" s="163"/>
      <c r="M370" s="163"/>
      <c r="N370" s="163"/>
      <c r="O370" s="352"/>
      <c r="P370" s="352"/>
      <c r="Q370" s="164"/>
      <c r="R370" s="164"/>
      <c r="S370" s="164"/>
      <c r="T370" s="164"/>
      <c r="U370" s="164"/>
      <c r="V370" s="164"/>
      <c r="W370" s="164"/>
      <c r="X370" s="259"/>
      <c r="Y370" s="259"/>
      <c r="Z370" s="164"/>
      <c r="AA370" s="164"/>
      <c r="AB370" s="164"/>
      <c r="AC370" s="164"/>
      <c r="AD370" s="164"/>
      <c r="AE370" s="164"/>
      <c r="AF370" s="164"/>
      <c r="AG370" s="164"/>
      <c r="AH370" s="164"/>
      <c r="AI370" s="164"/>
      <c r="AJ370" s="164"/>
      <c r="AK370" s="164"/>
      <c r="AL370" s="164"/>
      <c r="AM370" s="164"/>
      <c r="AN370" s="164"/>
      <c r="AO370" s="164"/>
      <c r="AP370" s="164"/>
      <c r="AQ370" s="164"/>
      <c r="AR370" s="164"/>
      <c r="AS370" s="164"/>
      <c r="AT370" s="164"/>
      <c r="AU370" s="164"/>
      <c r="AV370" s="164"/>
      <c r="AW370" s="259"/>
      <c r="AX370" s="259"/>
      <c r="AY370" s="164"/>
      <c r="AZ370" s="164"/>
      <c r="BA370" s="164"/>
      <c r="BB370" s="164"/>
      <c r="BC370" s="164"/>
      <c r="BD370" s="164"/>
      <c r="BE370" s="164"/>
      <c r="BF370" s="259"/>
      <c r="BG370" s="259"/>
      <c r="BH370" s="164"/>
      <c r="BI370" s="164"/>
      <c r="BJ370" s="164"/>
      <c r="BK370" s="164"/>
      <c r="BL370" s="164"/>
      <c r="BM370" s="164"/>
      <c r="BN370" s="164"/>
      <c r="BO370" s="164"/>
      <c r="BP370" s="164"/>
      <c r="BQ370" s="164"/>
      <c r="BR370" s="164"/>
      <c r="BS370" s="164"/>
      <c r="BT370" s="164"/>
      <c r="BU370" s="164"/>
      <c r="BV370" s="164"/>
      <c r="BW370" s="164"/>
      <c r="BX370" s="164"/>
      <c r="BY370" s="164"/>
      <c r="BZ370" s="259"/>
      <c r="CA370" s="259"/>
      <c r="CB370" s="144"/>
      <c r="CC370" s="164"/>
      <c r="CD370" s="164"/>
      <c r="CE370" s="164"/>
      <c r="CF370" s="164"/>
      <c r="CG370" s="164"/>
      <c r="CH370" s="164"/>
      <c r="CI370" s="164"/>
      <c r="CJ370" s="164"/>
      <c r="CK370" s="164"/>
      <c r="CL370" s="259"/>
      <c r="CM370" s="259"/>
      <c r="CN370" s="259"/>
      <c r="CO370" s="259"/>
      <c r="CP370" s="259"/>
      <c r="CQ370" s="164"/>
      <c r="CR370" s="164"/>
      <c r="CS370" s="164"/>
      <c r="CT370" s="164"/>
      <c r="CU370" s="164"/>
      <c r="CV370" s="164"/>
      <c r="CW370" s="164"/>
      <c r="CX370" s="164"/>
      <c r="CY370" s="164"/>
      <c r="CZ370" s="164"/>
      <c r="DA370" s="164"/>
      <c r="DB370" s="164"/>
      <c r="DC370" s="164"/>
      <c r="DD370" s="164"/>
      <c r="DE370" s="164"/>
      <c r="DF370" s="164"/>
      <c r="DG370" s="164"/>
      <c r="DH370" s="164"/>
      <c r="DI370" s="164"/>
      <c r="DJ370" s="164"/>
      <c r="DK370" s="164"/>
      <c r="DL370" s="164"/>
      <c r="DM370" s="164"/>
      <c r="DN370" s="164"/>
      <c r="DO370" s="164"/>
      <c r="DP370" s="164"/>
      <c r="DQ370" s="164"/>
      <c r="DR370" s="164"/>
      <c r="DS370" s="164"/>
      <c r="DT370" s="164"/>
      <c r="DU370" s="164"/>
      <c r="DV370" s="164"/>
      <c r="DW370" s="164"/>
      <c r="DX370" s="164"/>
      <c r="DY370" s="164"/>
      <c r="DZ370" s="164"/>
      <c r="EA370" s="164"/>
      <c r="EB370" s="164"/>
      <c r="EC370" s="164"/>
      <c r="ED370" s="164"/>
      <c r="EE370" s="164"/>
      <c r="EF370" s="164"/>
      <c r="EG370" s="144">
        <v>0</v>
      </c>
      <c r="EH370" s="164"/>
      <c r="EI370" s="164"/>
      <c r="EJ370" s="144">
        <v>0</v>
      </c>
      <c r="EK370" s="144"/>
      <c r="EL370" s="164"/>
      <c r="EM370" s="164"/>
      <c r="EN370" s="144"/>
      <c r="EO370" s="144"/>
      <c r="EP370" s="164"/>
      <c r="EQ370" s="164"/>
      <c r="ER370" s="144"/>
      <c r="ES370" s="144"/>
      <c r="ET370" s="164"/>
      <c r="EU370" s="164"/>
      <c r="EV370" s="144"/>
      <c r="EW370" s="164"/>
      <c r="EX370" s="164"/>
      <c r="EY370" s="164"/>
      <c r="EZ370" s="164"/>
      <c r="FA370" s="164"/>
      <c r="FB370" s="164"/>
      <c r="FC370" s="163">
        <f>FF370</f>
        <v>0</v>
      </c>
      <c r="FD370" s="163"/>
      <c r="FE370" s="163"/>
      <c r="FF370" s="143">
        <v>0</v>
      </c>
      <c r="FG370" s="163">
        <f>FJ370</f>
        <v>0</v>
      </c>
      <c r="FH370" s="163"/>
      <c r="FI370" s="163"/>
      <c r="FJ370" s="163">
        <f>FR370-FF370</f>
        <v>0</v>
      </c>
      <c r="FK370" s="143"/>
      <c r="FL370" s="163"/>
      <c r="FM370" s="163"/>
      <c r="FN370" s="143"/>
      <c r="FO370" s="163">
        <f>FR370</f>
        <v>0</v>
      </c>
      <c r="FP370" s="163"/>
      <c r="FQ370" s="163"/>
      <c r="FR370" s="163">
        <v>0</v>
      </c>
      <c r="FS370" s="163"/>
      <c r="FT370" s="163"/>
      <c r="FU370" s="163"/>
      <c r="FV370" s="163"/>
      <c r="FW370" s="164"/>
      <c r="FX370" s="164"/>
      <c r="FY370" s="163"/>
      <c r="FZ370" s="163"/>
      <c r="GA370" s="163"/>
      <c r="GB370" s="163"/>
      <c r="GC370" s="163"/>
      <c r="GD370" s="163"/>
      <c r="GE370" s="163"/>
      <c r="GF370" s="163"/>
      <c r="GG370" s="163"/>
      <c r="GH370" s="163"/>
      <c r="GI370" s="163"/>
      <c r="GJ370" s="577" t="e">
        <f t="shared" si="786"/>
        <v>#DIV/0!</v>
      </c>
      <c r="GK370" s="163"/>
      <c r="GL370" s="163"/>
      <c r="GM370" s="163"/>
      <c r="GN370" s="163"/>
      <c r="GO370" s="163"/>
      <c r="GP370" s="163"/>
      <c r="GQ370" s="163"/>
      <c r="GR370" s="163"/>
      <c r="GS370" s="163"/>
      <c r="GT370" s="163"/>
      <c r="GU370" s="164">
        <f>GX370</f>
        <v>77905.531749999995</v>
      </c>
      <c r="GV370" s="164"/>
      <c r="GW370" s="164"/>
      <c r="GX370" s="163">
        <f>77905.53218-0.00043</f>
        <v>77905.531749999995</v>
      </c>
      <c r="GY370" s="164"/>
      <c r="GZ370" s="164"/>
      <c r="HA370" s="164"/>
      <c r="HB370" s="164"/>
      <c r="HC370" s="164"/>
      <c r="HD370" s="164"/>
      <c r="HE370" s="164"/>
      <c r="HF370" s="164"/>
      <c r="HG370" s="164">
        <f>HH370+HJ370</f>
        <v>-77905.531749999995</v>
      </c>
      <c r="HH370" s="164"/>
      <c r="HI370" s="164"/>
      <c r="HJ370" s="164">
        <f>HR370-GX370</f>
        <v>-77905.531749999995</v>
      </c>
      <c r="HK370" s="164"/>
      <c r="HL370" s="164"/>
      <c r="HM370" s="164"/>
      <c r="HN370" s="164"/>
      <c r="HO370" s="164">
        <f>HP370+HR370</f>
        <v>0</v>
      </c>
      <c r="HP370" s="164"/>
      <c r="HQ370" s="164"/>
      <c r="HR370" s="164">
        <v>0</v>
      </c>
      <c r="HS370" s="164">
        <f>HT370+HV370</f>
        <v>0</v>
      </c>
      <c r="HT370" s="164"/>
      <c r="HU370" s="164"/>
      <c r="HV370" s="164">
        <v>0</v>
      </c>
      <c r="HW370" s="164">
        <f>HX370+HZ370</f>
        <v>0</v>
      </c>
      <c r="HX370" s="164"/>
      <c r="HY370" s="164"/>
      <c r="HZ370" s="164">
        <f>ID370-HV370</f>
        <v>0</v>
      </c>
      <c r="IA370" s="164">
        <f>IB370+ID370</f>
        <v>0</v>
      </c>
      <c r="IB370" s="164"/>
      <c r="IC370" s="164"/>
      <c r="ID370" s="164">
        <v>0</v>
      </c>
      <c r="IE370" s="354"/>
      <c r="IF370" s="170"/>
      <c r="IG370" s="170"/>
      <c r="IH370" s="170"/>
    </row>
    <row r="371" spans="2:242" s="251" customFormat="1" ht="120" customHeight="1" x14ac:dyDescent="0.25">
      <c r="B371" s="149" t="s">
        <v>221</v>
      </c>
      <c r="C371" s="346" t="s">
        <v>509</v>
      </c>
      <c r="D371" s="355"/>
      <c r="E371" s="201"/>
      <c r="F371" s="201"/>
      <c r="G371" s="201"/>
      <c r="H371" s="201"/>
      <c r="I371" s="201"/>
      <c r="J371" s="201"/>
      <c r="K371" s="201"/>
      <c r="L371" s="201"/>
      <c r="M371" s="201"/>
      <c r="N371" s="201"/>
      <c r="O371" s="201"/>
      <c r="P371" s="201"/>
      <c r="Q371" s="192"/>
      <c r="R371" s="192"/>
      <c r="S371" s="192"/>
      <c r="T371" s="192"/>
      <c r="U371" s="192"/>
      <c r="V371" s="192"/>
      <c r="W371" s="192"/>
      <c r="X371" s="192"/>
      <c r="Y371" s="192"/>
      <c r="Z371" s="192"/>
      <c r="AA371" s="192"/>
      <c r="AB371" s="192"/>
      <c r="AC371" s="192"/>
      <c r="AD371" s="192"/>
      <c r="AE371" s="192"/>
      <c r="AF371" s="192"/>
      <c r="AG371" s="192"/>
      <c r="AH371" s="192"/>
      <c r="AI371" s="192"/>
      <c r="AJ371" s="192"/>
      <c r="AK371" s="192"/>
      <c r="AL371" s="192"/>
      <c r="AM371" s="192"/>
      <c r="AN371" s="192"/>
      <c r="AO371" s="192"/>
      <c r="AP371" s="192"/>
      <c r="AQ371" s="192"/>
      <c r="AR371" s="192"/>
      <c r="AS371" s="192"/>
      <c r="AT371" s="192"/>
      <c r="AU371" s="192"/>
      <c r="AV371" s="192"/>
      <c r="AW371" s="192"/>
      <c r="AX371" s="192"/>
      <c r="AY371" s="192"/>
      <c r="AZ371" s="192"/>
      <c r="BA371" s="192"/>
      <c r="BB371" s="192"/>
      <c r="BC371" s="192"/>
      <c r="BD371" s="192"/>
      <c r="BE371" s="192"/>
      <c r="BF371" s="192"/>
      <c r="BG371" s="192"/>
      <c r="BH371" s="192"/>
      <c r="BI371" s="192"/>
      <c r="BJ371" s="192"/>
      <c r="BK371" s="192"/>
      <c r="BL371" s="192"/>
      <c r="BM371" s="192"/>
      <c r="BN371" s="192"/>
      <c r="BO371" s="192"/>
      <c r="BP371" s="192"/>
      <c r="BQ371" s="192"/>
      <c r="BR371" s="192"/>
      <c r="BS371" s="192"/>
      <c r="BT371" s="192"/>
      <c r="BU371" s="192"/>
      <c r="BV371" s="192"/>
      <c r="BW371" s="192"/>
      <c r="BX371" s="192"/>
      <c r="BY371" s="192"/>
      <c r="BZ371" s="192"/>
      <c r="CA371" s="192"/>
      <c r="CB371" s="153"/>
      <c r="CC371" s="192"/>
      <c r="CD371" s="192"/>
      <c r="CE371" s="192"/>
      <c r="CF371" s="192"/>
      <c r="CG371" s="192"/>
      <c r="CH371" s="192"/>
      <c r="CI371" s="192"/>
      <c r="CJ371" s="192"/>
      <c r="CK371" s="192"/>
      <c r="CL371" s="192"/>
      <c r="CM371" s="192"/>
      <c r="CN371" s="192"/>
      <c r="CO371" s="192"/>
      <c r="CP371" s="192"/>
      <c r="CQ371" s="192"/>
      <c r="CR371" s="192"/>
      <c r="CS371" s="192"/>
      <c r="CT371" s="192"/>
      <c r="CU371" s="192"/>
      <c r="CV371" s="192"/>
      <c r="CW371" s="192"/>
      <c r="CX371" s="192"/>
      <c r="CY371" s="192"/>
      <c r="CZ371" s="192"/>
      <c r="DA371" s="192"/>
      <c r="DB371" s="192"/>
      <c r="DC371" s="192"/>
      <c r="DD371" s="192"/>
      <c r="DE371" s="192"/>
      <c r="DF371" s="192"/>
      <c r="DG371" s="192"/>
      <c r="DH371" s="192"/>
      <c r="DI371" s="192"/>
      <c r="DJ371" s="192"/>
      <c r="DK371" s="192"/>
      <c r="DL371" s="192"/>
      <c r="DM371" s="192"/>
      <c r="DN371" s="192"/>
      <c r="DO371" s="192"/>
      <c r="DP371" s="192"/>
      <c r="DQ371" s="192"/>
      <c r="DR371" s="192"/>
      <c r="DS371" s="192"/>
      <c r="DT371" s="192"/>
      <c r="DU371" s="192"/>
      <c r="DV371" s="192"/>
      <c r="DW371" s="192"/>
      <c r="DX371" s="192"/>
      <c r="DY371" s="192"/>
      <c r="DZ371" s="192"/>
      <c r="EA371" s="192"/>
      <c r="EB371" s="192"/>
      <c r="EC371" s="192"/>
      <c r="ED371" s="192"/>
      <c r="EE371" s="192"/>
      <c r="EF371" s="192"/>
      <c r="EG371" s="153">
        <f>EH371+EI371+EJ371</f>
        <v>329273.3</v>
      </c>
      <c r="EH371" s="192">
        <f>EH375+EH376</f>
        <v>329273.3</v>
      </c>
      <c r="EI371" s="192"/>
      <c r="EJ371" s="153">
        <f>SUM(EJ375:EJ376)</f>
        <v>0</v>
      </c>
      <c r="EK371" s="153">
        <f>EL371+EM371+EN371</f>
        <v>0</v>
      </c>
      <c r="EL371" s="192"/>
      <c r="EM371" s="192"/>
      <c r="EN371" s="153">
        <f>SUM(EN375:EN376)</f>
        <v>0</v>
      </c>
      <c r="EO371" s="153">
        <f>EP371+EQ371+ER371</f>
        <v>0</v>
      </c>
      <c r="EP371" s="192"/>
      <c r="EQ371" s="192"/>
      <c r="ER371" s="153">
        <f>SUM(ER375:ER376)</f>
        <v>0</v>
      </c>
      <c r="ES371" s="153">
        <f>ET371+EU371+EV371</f>
        <v>0</v>
      </c>
      <c r="ET371" s="192"/>
      <c r="EU371" s="192"/>
      <c r="EV371" s="153">
        <f>SUM(EV375:EV376)</f>
        <v>0</v>
      </c>
      <c r="EW371" s="192"/>
      <c r="EX371" s="192"/>
      <c r="EY371" s="192"/>
      <c r="EZ371" s="192"/>
      <c r="FA371" s="192"/>
      <c r="FB371" s="192"/>
      <c r="FC371" s="152">
        <f>FD371+FE371+FF371</f>
        <v>68317.612040000007</v>
      </c>
      <c r="FD371" s="201">
        <v>0</v>
      </c>
      <c r="FE371" s="201">
        <v>0</v>
      </c>
      <c r="FF371" s="152">
        <f>FF374</f>
        <v>68317.612040000007</v>
      </c>
      <c r="FG371" s="152">
        <f>FH371+FI371+FJ371</f>
        <v>0</v>
      </c>
      <c r="FH371" s="201">
        <f>FH375+FH376</f>
        <v>0</v>
      </c>
      <c r="FI371" s="201">
        <v>0</v>
      </c>
      <c r="FJ371" s="152">
        <f>SUM(FJ375:FJ376)</f>
        <v>0</v>
      </c>
      <c r="FK371" s="152" t="e">
        <f>FL371+FM371+FN371</f>
        <v>#REF!</v>
      </c>
      <c r="FL371" s="201"/>
      <c r="FM371" s="201"/>
      <c r="FN371" s="152" t="e">
        <f>SUM(FN375:FN376)</f>
        <v>#REF!</v>
      </c>
      <c r="FO371" s="152">
        <f>FP371+FQ371+FR371</f>
        <v>68317.612040000007</v>
      </c>
      <c r="FP371" s="201">
        <f>FP375+FP376</f>
        <v>0</v>
      </c>
      <c r="FQ371" s="201">
        <v>0</v>
      </c>
      <c r="FR371" s="152">
        <f>SUM(FR375:FR376)</f>
        <v>68317.612040000007</v>
      </c>
      <c r="FS371" s="152">
        <f>FY371</f>
        <v>47385.404970000003</v>
      </c>
      <c r="FT371" s="574">
        <f>FS371/FC371</f>
        <v>0.69360452678374962</v>
      </c>
      <c r="FU371" s="152"/>
      <c r="FV371" s="574"/>
      <c r="FW371" s="658"/>
      <c r="FX371" s="658"/>
      <c r="FY371" s="152">
        <f>FY374</f>
        <v>47385.404970000003</v>
      </c>
      <c r="FZ371" s="574">
        <f>FY371/FF371</f>
        <v>0.69360452678374962</v>
      </c>
      <c r="GA371" s="152">
        <f>GG371</f>
        <v>47385.404970000003</v>
      </c>
      <c r="GB371" s="574">
        <f>GA371/FC371</f>
        <v>0.69360452678374962</v>
      </c>
      <c r="GC371" s="152"/>
      <c r="GD371" s="308"/>
      <c r="GE371" s="152"/>
      <c r="GF371" s="308"/>
      <c r="GG371" s="152">
        <f>GG374</f>
        <v>47385.404970000003</v>
      </c>
      <c r="GH371" s="574">
        <f>GG371/FF371</f>
        <v>0.69360452678374962</v>
      </c>
      <c r="GI371" s="152">
        <f>GO371</f>
        <v>68317.612040000007</v>
      </c>
      <c r="GJ371" s="577">
        <f t="shared" si="786"/>
        <v>1</v>
      </c>
      <c r="GK371" s="152"/>
      <c r="GL371" s="308"/>
      <c r="GM371" s="152"/>
      <c r="GN371" s="308"/>
      <c r="GO371" s="152">
        <f>GO374</f>
        <v>68317.612040000007</v>
      </c>
      <c r="GP371" s="577">
        <f t="shared" ref="GP371:GP376" si="787">GO371/FF371</f>
        <v>1</v>
      </c>
      <c r="GQ371" s="308"/>
      <c r="GR371" s="308"/>
      <c r="GS371" s="308"/>
      <c r="GT371" s="308"/>
      <c r="GU371" s="153">
        <f>GV371+GW371+GX371</f>
        <v>79332.537000000011</v>
      </c>
      <c r="GV371" s="192">
        <f>GV375+GV376</f>
        <v>0</v>
      </c>
      <c r="GW371" s="192"/>
      <c r="GX371" s="153">
        <f>SUM(GX375:GX376)</f>
        <v>79332.537000000011</v>
      </c>
      <c r="GY371" s="192"/>
      <c r="GZ371" s="192"/>
      <c r="HA371" s="192"/>
      <c r="HB371" s="192"/>
      <c r="HC371" s="192"/>
      <c r="HD371" s="192"/>
      <c r="HE371" s="192"/>
      <c r="HF371" s="192"/>
      <c r="HG371" s="152">
        <f>HH371+HI371+HJ371</f>
        <v>4.3000000005122274E-4</v>
      </c>
      <c r="HH371" s="192">
        <f>HH375+HH376</f>
        <v>0</v>
      </c>
      <c r="HI371" s="192"/>
      <c r="HJ371" s="152">
        <f>SUM(HJ375:HJ376)</f>
        <v>4.3000000005122274E-4</v>
      </c>
      <c r="HK371" s="153">
        <f>HL371+HM371+HN371</f>
        <v>0</v>
      </c>
      <c r="HL371" s="192"/>
      <c r="HM371" s="192"/>
      <c r="HN371" s="153">
        <f>SUM(HN375:HN376)</f>
        <v>0</v>
      </c>
      <c r="HO371" s="153">
        <f>HP371+HQ371+HR371</f>
        <v>79332.537429999997</v>
      </c>
      <c r="HP371" s="192">
        <f>HP375+HP376</f>
        <v>0</v>
      </c>
      <c r="HQ371" s="192"/>
      <c r="HR371" s="153">
        <f>SUM(HR375:HR376)</f>
        <v>79332.537429999997</v>
      </c>
      <c r="HS371" s="153">
        <f>HT371+HU371+HV371</f>
        <v>372392.68657000002</v>
      </c>
      <c r="HT371" s="192">
        <f>HT375+HT376</f>
        <v>0</v>
      </c>
      <c r="HU371" s="192">
        <f>HU372</f>
        <v>0</v>
      </c>
      <c r="HV371" s="152">
        <f>HV372+HV373</f>
        <v>372392.68657000002</v>
      </c>
      <c r="HW371" s="153">
        <f>HX371+HY371+HZ371</f>
        <v>0</v>
      </c>
      <c r="HX371" s="152">
        <f>HX372+HX373</f>
        <v>372392.68657000002</v>
      </c>
      <c r="HY371" s="192">
        <f>HY372+HY373</f>
        <v>0</v>
      </c>
      <c r="HZ371" s="152">
        <f>HZ372+HZ373</f>
        <v>-372392.68657000002</v>
      </c>
      <c r="IA371" s="152">
        <f>IB371+IC371+ID371</f>
        <v>372392.68657000002</v>
      </c>
      <c r="IB371" s="152">
        <f>IB372+IB373</f>
        <v>372392.68657000002</v>
      </c>
      <c r="IC371" s="192">
        <f>IC372</f>
        <v>0</v>
      </c>
      <c r="ID371" s="152">
        <f>ID372+ID373</f>
        <v>0</v>
      </c>
      <c r="IE371" s="767" t="s">
        <v>437</v>
      </c>
      <c r="IF371" s="356"/>
      <c r="IG371" s="356"/>
      <c r="IH371" s="356"/>
    </row>
    <row r="372" spans="2:242" s="251" customFormat="1" ht="80.25" hidden="1" customHeight="1" x14ac:dyDescent="0.25">
      <c r="B372" s="100" t="s">
        <v>134</v>
      </c>
      <c r="C372" s="357" t="s">
        <v>438</v>
      </c>
      <c r="D372" s="355"/>
      <c r="E372" s="201"/>
      <c r="F372" s="201"/>
      <c r="G372" s="201"/>
      <c r="H372" s="201"/>
      <c r="I372" s="201"/>
      <c r="J372" s="201"/>
      <c r="K372" s="201"/>
      <c r="L372" s="201"/>
      <c r="M372" s="201"/>
      <c r="N372" s="201"/>
      <c r="O372" s="201"/>
      <c r="P372" s="201"/>
      <c r="Q372" s="192"/>
      <c r="R372" s="192"/>
      <c r="S372" s="192"/>
      <c r="T372" s="192"/>
      <c r="U372" s="192"/>
      <c r="V372" s="192"/>
      <c r="W372" s="192"/>
      <c r="X372" s="192"/>
      <c r="Y372" s="192"/>
      <c r="Z372" s="192"/>
      <c r="AA372" s="192"/>
      <c r="AB372" s="192"/>
      <c r="AC372" s="192"/>
      <c r="AD372" s="192"/>
      <c r="AE372" s="192"/>
      <c r="AF372" s="192"/>
      <c r="AG372" s="192"/>
      <c r="AH372" s="192"/>
      <c r="AI372" s="192"/>
      <c r="AJ372" s="192"/>
      <c r="AK372" s="192"/>
      <c r="AL372" s="192"/>
      <c r="AM372" s="192"/>
      <c r="AN372" s="192"/>
      <c r="AO372" s="192"/>
      <c r="AP372" s="192"/>
      <c r="AQ372" s="192"/>
      <c r="AR372" s="192"/>
      <c r="AS372" s="192"/>
      <c r="AT372" s="192"/>
      <c r="AU372" s="192"/>
      <c r="AV372" s="192"/>
      <c r="AW372" s="192"/>
      <c r="AX372" s="192"/>
      <c r="AY372" s="192"/>
      <c r="AZ372" s="192"/>
      <c r="BA372" s="192"/>
      <c r="BB372" s="192"/>
      <c r="BC372" s="192"/>
      <c r="BD372" s="192"/>
      <c r="BE372" s="192"/>
      <c r="BF372" s="192"/>
      <c r="BG372" s="192"/>
      <c r="BH372" s="192"/>
      <c r="BI372" s="192"/>
      <c r="BJ372" s="192"/>
      <c r="BK372" s="192"/>
      <c r="BL372" s="192"/>
      <c r="BM372" s="192"/>
      <c r="BN372" s="192"/>
      <c r="BO372" s="192"/>
      <c r="BP372" s="192"/>
      <c r="BQ372" s="192"/>
      <c r="BR372" s="192"/>
      <c r="BS372" s="192"/>
      <c r="BT372" s="192"/>
      <c r="BU372" s="192"/>
      <c r="BV372" s="192"/>
      <c r="BW372" s="192"/>
      <c r="BX372" s="192"/>
      <c r="BY372" s="192"/>
      <c r="BZ372" s="192"/>
      <c r="CA372" s="192"/>
      <c r="CB372" s="153"/>
      <c r="CC372" s="192"/>
      <c r="CD372" s="192"/>
      <c r="CE372" s="192"/>
      <c r="CF372" s="192"/>
      <c r="CG372" s="192"/>
      <c r="CH372" s="192"/>
      <c r="CI372" s="192"/>
      <c r="CJ372" s="192"/>
      <c r="CK372" s="192"/>
      <c r="CL372" s="192"/>
      <c r="CM372" s="192"/>
      <c r="CN372" s="192"/>
      <c r="CO372" s="192"/>
      <c r="CP372" s="192"/>
      <c r="CQ372" s="192"/>
      <c r="CR372" s="192"/>
      <c r="CS372" s="192"/>
      <c r="CT372" s="192"/>
      <c r="CU372" s="192"/>
      <c r="CV372" s="192"/>
      <c r="CW372" s="192"/>
      <c r="CX372" s="192"/>
      <c r="CY372" s="192"/>
      <c r="CZ372" s="192"/>
      <c r="DA372" s="192"/>
      <c r="DB372" s="192"/>
      <c r="DC372" s="192"/>
      <c r="DD372" s="192"/>
      <c r="DE372" s="192"/>
      <c r="DF372" s="192"/>
      <c r="DG372" s="192"/>
      <c r="DH372" s="192"/>
      <c r="DI372" s="192"/>
      <c r="DJ372" s="192"/>
      <c r="DK372" s="192"/>
      <c r="DL372" s="192"/>
      <c r="DM372" s="192"/>
      <c r="DN372" s="192"/>
      <c r="DO372" s="192"/>
      <c r="DP372" s="192"/>
      <c r="DQ372" s="192"/>
      <c r="DR372" s="192"/>
      <c r="DS372" s="192"/>
      <c r="DT372" s="192"/>
      <c r="DU372" s="192"/>
      <c r="DV372" s="192"/>
      <c r="DW372" s="192"/>
      <c r="DX372" s="192"/>
      <c r="DY372" s="192"/>
      <c r="DZ372" s="192"/>
      <c r="EA372" s="192"/>
      <c r="EB372" s="192"/>
      <c r="EC372" s="192"/>
      <c r="ED372" s="192"/>
      <c r="EE372" s="192"/>
      <c r="EF372" s="192"/>
      <c r="EG372" s="153"/>
      <c r="EH372" s="192"/>
      <c r="EI372" s="192"/>
      <c r="EJ372" s="153"/>
      <c r="EK372" s="153"/>
      <c r="EL372" s="192"/>
      <c r="EM372" s="192"/>
      <c r="EN372" s="153"/>
      <c r="EO372" s="153"/>
      <c r="EP372" s="192"/>
      <c r="EQ372" s="192"/>
      <c r="ER372" s="153"/>
      <c r="ES372" s="153"/>
      <c r="ET372" s="192"/>
      <c r="EU372" s="192"/>
      <c r="EV372" s="153"/>
      <c r="EW372" s="192"/>
      <c r="EX372" s="192"/>
      <c r="EY372" s="192"/>
      <c r="EZ372" s="192"/>
      <c r="FA372" s="192"/>
      <c r="FB372" s="192"/>
      <c r="FC372" s="152"/>
      <c r="FD372" s="201"/>
      <c r="FE372" s="201"/>
      <c r="FF372" s="152"/>
      <c r="FG372" s="152"/>
      <c r="FH372" s="201"/>
      <c r="FI372" s="201"/>
      <c r="FJ372" s="152"/>
      <c r="FK372" s="152"/>
      <c r="FL372" s="201"/>
      <c r="FM372" s="201"/>
      <c r="FN372" s="152"/>
      <c r="FO372" s="359">
        <v>0</v>
      </c>
      <c r="FP372" s="359"/>
      <c r="FQ372" s="359"/>
      <c r="FR372" s="359"/>
      <c r="FS372" s="359"/>
      <c r="FT372" s="358"/>
      <c r="FU372" s="359"/>
      <c r="FV372" s="358"/>
      <c r="FW372" s="358"/>
      <c r="FX372" s="358"/>
      <c r="FY372" s="359"/>
      <c r="FZ372" s="358"/>
      <c r="GA372" s="359"/>
      <c r="GB372" s="358"/>
      <c r="GC372" s="359"/>
      <c r="GD372" s="358"/>
      <c r="GE372" s="359"/>
      <c r="GF372" s="358"/>
      <c r="GG372" s="359"/>
      <c r="GH372" s="358"/>
      <c r="GI372" s="359"/>
      <c r="GJ372" s="577" t="e">
        <f t="shared" si="786"/>
        <v>#DIV/0!</v>
      </c>
      <c r="GK372" s="359"/>
      <c r="GL372" s="358"/>
      <c r="GM372" s="359"/>
      <c r="GN372" s="358"/>
      <c r="GO372" s="359"/>
      <c r="GP372" s="577" t="e">
        <f t="shared" si="787"/>
        <v>#DIV/0!</v>
      </c>
      <c r="GQ372" s="358"/>
      <c r="GR372" s="358"/>
      <c r="GS372" s="358"/>
      <c r="GT372" s="358"/>
      <c r="GU372" s="358"/>
      <c r="GV372" s="358"/>
      <c r="GW372" s="358"/>
      <c r="GX372" s="358"/>
      <c r="GY372" s="358"/>
      <c r="GZ372" s="358"/>
      <c r="HA372" s="358"/>
      <c r="HB372" s="358"/>
      <c r="HC372" s="358"/>
      <c r="HD372" s="358"/>
      <c r="HE372" s="358"/>
      <c r="HF372" s="358"/>
      <c r="HG372" s="358"/>
      <c r="HH372" s="358"/>
      <c r="HI372" s="358"/>
      <c r="HJ372" s="358"/>
      <c r="HK372" s="358"/>
      <c r="HL372" s="358"/>
      <c r="HM372" s="358"/>
      <c r="HN372" s="358"/>
      <c r="HO372" s="358">
        <v>0</v>
      </c>
      <c r="HP372" s="192"/>
      <c r="HQ372" s="192"/>
      <c r="HR372" s="153"/>
      <c r="HS372" s="359">
        <f>HT372+HU372+HV372</f>
        <v>249503.1</v>
      </c>
      <c r="HT372" s="358">
        <v>0</v>
      </c>
      <c r="HU372" s="358">
        <v>0</v>
      </c>
      <c r="HV372" s="359">
        <v>249503.1</v>
      </c>
      <c r="HW372" s="358">
        <f>HX372+HY372+HZ372</f>
        <v>0</v>
      </c>
      <c r="HX372" s="359">
        <f>IB372-HT372</f>
        <v>249503.1</v>
      </c>
      <c r="HY372" s="192"/>
      <c r="HZ372" s="359">
        <f>ID372-HV372</f>
        <v>-249503.1</v>
      </c>
      <c r="IA372" s="358">
        <f>IB372+IC372+ID372</f>
        <v>249503.1</v>
      </c>
      <c r="IB372" s="359">
        <v>249503.1</v>
      </c>
      <c r="IC372" s="358">
        <v>0</v>
      </c>
      <c r="ID372" s="359">
        <v>0</v>
      </c>
      <c r="IE372" s="768"/>
      <c r="IF372" s="356"/>
      <c r="IG372" s="356"/>
      <c r="IH372" s="356"/>
    </row>
    <row r="373" spans="2:242" s="184" customFormat="1" ht="80.25" hidden="1" customHeight="1" x14ac:dyDescent="0.25">
      <c r="B373" s="100" t="s">
        <v>221</v>
      </c>
      <c r="C373" s="172" t="s">
        <v>439</v>
      </c>
      <c r="D373" s="179"/>
      <c r="E373" s="180"/>
      <c r="F373" s="180"/>
      <c r="G373" s="180"/>
      <c r="H373" s="180"/>
      <c r="I373" s="180"/>
      <c r="J373" s="180"/>
      <c r="K373" s="180"/>
      <c r="L373" s="180"/>
      <c r="M373" s="180"/>
      <c r="N373" s="180"/>
      <c r="O373" s="180"/>
      <c r="P373" s="180"/>
      <c r="Q373" s="181"/>
      <c r="R373" s="181"/>
      <c r="S373" s="181"/>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1"/>
      <c r="AR373" s="181"/>
      <c r="AS373" s="181"/>
      <c r="AT373" s="181"/>
      <c r="AU373" s="181"/>
      <c r="AV373" s="181"/>
      <c r="AW373" s="181"/>
      <c r="AX373" s="181"/>
      <c r="AY373" s="181"/>
      <c r="AZ373" s="181"/>
      <c r="BA373" s="181"/>
      <c r="BB373" s="181"/>
      <c r="BC373" s="181"/>
      <c r="BD373" s="181"/>
      <c r="BE373" s="181"/>
      <c r="BF373" s="181"/>
      <c r="BG373" s="181"/>
      <c r="BH373" s="181"/>
      <c r="BI373" s="181"/>
      <c r="BJ373" s="181"/>
      <c r="BK373" s="181"/>
      <c r="BL373" s="181"/>
      <c r="BM373" s="181"/>
      <c r="BN373" s="181"/>
      <c r="BO373" s="181"/>
      <c r="BP373" s="181"/>
      <c r="BQ373" s="181"/>
      <c r="BR373" s="181"/>
      <c r="BS373" s="181"/>
      <c r="BT373" s="181"/>
      <c r="BU373" s="181"/>
      <c r="BV373" s="181"/>
      <c r="BW373" s="181"/>
      <c r="BX373" s="181"/>
      <c r="BY373" s="181"/>
      <c r="BZ373" s="181"/>
      <c r="CA373" s="181"/>
      <c r="CB373" s="105"/>
      <c r="CC373" s="181"/>
      <c r="CD373" s="181"/>
      <c r="CE373" s="181"/>
      <c r="CF373" s="181"/>
      <c r="CG373" s="181"/>
      <c r="CH373" s="181"/>
      <c r="CI373" s="181"/>
      <c r="CJ373" s="181"/>
      <c r="CK373" s="181"/>
      <c r="CL373" s="181"/>
      <c r="CM373" s="181"/>
      <c r="CN373" s="181"/>
      <c r="CO373" s="181"/>
      <c r="CP373" s="181"/>
      <c r="CQ373" s="181"/>
      <c r="CR373" s="181"/>
      <c r="CS373" s="181"/>
      <c r="CT373" s="181"/>
      <c r="CU373" s="181"/>
      <c r="CV373" s="181"/>
      <c r="CW373" s="181"/>
      <c r="CX373" s="181"/>
      <c r="CY373" s="181"/>
      <c r="CZ373" s="181"/>
      <c r="DA373" s="181"/>
      <c r="DB373" s="181"/>
      <c r="DC373" s="181"/>
      <c r="DD373" s="181"/>
      <c r="DE373" s="181"/>
      <c r="DF373" s="181"/>
      <c r="DG373" s="181"/>
      <c r="DH373" s="181"/>
      <c r="DI373" s="181"/>
      <c r="DJ373" s="181"/>
      <c r="DK373" s="181"/>
      <c r="DL373" s="181"/>
      <c r="DM373" s="181"/>
      <c r="DN373" s="181"/>
      <c r="DO373" s="181"/>
      <c r="DP373" s="181"/>
      <c r="DQ373" s="181"/>
      <c r="DR373" s="181"/>
      <c r="DS373" s="181"/>
      <c r="DT373" s="181"/>
      <c r="DU373" s="181"/>
      <c r="DV373" s="181"/>
      <c r="DW373" s="181"/>
      <c r="DX373" s="181"/>
      <c r="DY373" s="181"/>
      <c r="DZ373" s="181"/>
      <c r="EA373" s="181"/>
      <c r="EB373" s="181"/>
      <c r="EC373" s="181"/>
      <c r="ED373" s="181"/>
      <c r="EE373" s="181"/>
      <c r="EF373" s="181"/>
      <c r="EG373" s="105"/>
      <c r="EH373" s="181"/>
      <c r="EI373" s="181"/>
      <c r="EJ373" s="105"/>
      <c r="EK373" s="105"/>
      <c r="EL373" s="181"/>
      <c r="EM373" s="181"/>
      <c r="EN373" s="105"/>
      <c r="EO373" s="105"/>
      <c r="EP373" s="181"/>
      <c r="EQ373" s="181"/>
      <c r="ER373" s="105"/>
      <c r="ES373" s="105"/>
      <c r="ET373" s="181"/>
      <c r="EU373" s="181"/>
      <c r="EV373" s="105"/>
      <c r="EW373" s="181"/>
      <c r="EX373" s="181"/>
      <c r="EY373" s="181"/>
      <c r="EZ373" s="181"/>
      <c r="FA373" s="181"/>
      <c r="FB373" s="181"/>
      <c r="FC373" s="103"/>
      <c r="FD373" s="180"/>
      <c r="FE373" s="180"/>
      <c r="FF373" s="103"/>
      <c r="FG373" s="103"/>
      <c r="FH373" s="180"/>
      <c r="FI373" s="180"/>
      <c r="FJ373" s="103"/>
      <c r="FK373" s="103"/>
      <c r="FL373" s="180"/>
      <c r="FM373" s="180"/>
      <c r="FN373" s="103"/>
      <c r="FO373" s="143">
        <v>0</v>
      </c>
      <c r="FP373" s="143"/>
      <c r="FQ373" s="143"/>
      <c r="FR373" s="143"/>
      <c r="FS373" s="143"/>
      <c r="FT373" s="144"/>
      <c r="FU373" s="143"/>
      <c r="FV373" s="144"/>
      <c r="FW373" s="144"/>
      <c r="FX373" s="144"/>
      <c r="FY373" s="143"/>
      <c r="FZ373" s="144"/>
      <c r="GA373" s="143"/>
      <c r="GB373" s="144"/>
      <c r="GC373" s="143"/>
      <c r="GD373" s="144"/>
      <c r="GE373" s="143"/>
      <c r="GF373" s="144"/>
      <c r="GG373" s="143"/>
      <c r="GH373" s="144"/>
      <c r="GI373" s="143"/>
      <c r="GJ373" s="577">
        <v>0</v>
      </c>
      <c r="GK373" s="143"/>
      <c r="GL373" s="144"/>
      <c r="GM373" s="143"/>
      <c r="GN373" s="144"/>
      <c r="GO373" s="143"/>
      <c r="GP373" s="577">
        <v>0</v>
      </c>
      <c r="GQ373" s="144"/>
      <c r="GR373" s="144"/>
      <c r="GS373" s="144"/>
      <c r="GT373" s="144"/>
      <c r="GU373" s="144"/>
      <c r="GV373" s="144"/>
      <c r="GW373" s="144"/>
      <c r="GX373" s="144"/>
      <c r="GY373" s="144"/>
      <c r="GZ373" s="144"/>
      <c r="HA373" s="144"/>
      <c r="HB373" s="144"/>
      <c r="HC373" s="144"/>
      <c r="HD373" s="144"/>
      <c r="HE373" s="144"/>
      <c r="HF373" s="144"/>
      <c r="HG373" s="144"/>
      <c r="HH373" s="144"/>
      <c r="HI373" s="144"/>
      <c r="HJ373" s="144"/>
      <c r="HK373" s="144"/>
      <c r="HL373" s="144"/>
      <c r="HM373" s="144"/>
      <c r="HN373" s="144"/>
      <c r="HO373" s="144">
        <v>0</v>
      </c>
      <c r="HP373" s="181"/>
      <c r="HQ373" s="181"/>
      <c r="HR373" s="105"/>
      <c r="HS373" s="143">
        <f>HT373+HU373+HV373</f>
        <v>122889.58657</v>
      </c>
      <c r="HT373" s="144">
        <v>0</v>
      </c>
      <c r="HU373" s="144">
        <v>0</v>
      </c>
      <c r="HV373" s="143">
        <v>122889.58657</v>
      </c>
      <c r="HW373" s="144">
        <f>HX373+HY373+HZ373</f>
        <v>0</v>
      </c>
      <c r="HX373" s="143">
        <f>IB373-HT373</f>
        <v>122889.58657</v>
      </c>
      <c r="HY373" s="181"/>
      <c r="HZ373" s="143">
        <f>ID373-HV373</f>
        <v>-122889.58657</v>
      </c>
      <c r="IA373" s="144">
        <f>IB373+IC373+ID373</f>
        <v>122889.58657</v>
      </c>
      <c r="IB373" s="143">
        <v>122889.58657</v>
      </c>
      <c r="IC373" s="144"/>
      <c r="ID373" s="143">
        <v>0</v>
      </c>
      <c r="IE373" s="768"/>
      <c r="IF373" s="183"/>
      <c r="IG373" s="183"/>
      <c r="IH373" s="183"/>
    </row>
    <row r="374" spans="2:242" s="184" customFormat="1" ht="84.75" customHeight="1" x14ac:dyDescent="0.25">
      <c r="B374" s="100" t="s">
        <v>134</v>
      </c>
      <c r="C374" s="101" t="s">
        <v>431</v>
      </c>
      <c r="D374" s="179"/>
      <c r="E374" s="180"/>
      <c r="F374" s="180"/>
      <c r="G374" s="180"/>
      <c r="H374" s="180"/>
      <c r="I374" s="180"/>
      <c r="J374" s="180"/>
      <c r="K374" s="180"/>
      <c r="L374" s="180"/>
      <c r="M374" s="180"/>
      <c r="N374" s="180"/>
      <c r="O374" s="180"/>
      <c r="P374" s="180"/>
      <c r="Q374" s="181"/>
      <c r="R374" s="181"/>
      <c r="S374" s="181"/>
      <c r="T374" s="181"/>
      <c r="U374" s="181"/>
      <c r="V374" s="181"/>
      <c r="W374" s="181"/>
      <c r="X374" s="181"/>
      <c r="Y374" s="181"/>
      <c r="Z374" s="181"/>
      <c r="AA374" s="181"/>
      <c r="AB374" s="181"/>
      <c r="AC374" s="181"/>
      <c r="AD374" s="181"/>
      <c r="AE374" s="181"/>
      <c r="AF374" s="181"/>
      <c r="AG374" s="181"/>
      <c r="AH374" s="181"/>
      <c r="AI374" s="181"/>
      <c r="AJ374" s="181"/>
      <c r="AK374" s="181"/>
      <c r="AL374" s="181"/>
      <c r="AM374" s="181"/>
      <c r="AN374" s="181"/>
      <c r="AO374" s="181"/>
      <c r="AP374" s="181"/>
      <c r="AQ374" s="181"/>
      <c r="AR374" s="181"/>
      <c r="AS374" s="181"/>
      <c r="AT374" s="181"/>
      <c r="AU374" s="181"/>
      <c r="AV374" s="181"/>
      <c r="AW374" s="181"/>
      <c r="AX374" s="181"/>
      <c r="AY374" s="181"/>
      <c r="AZ374" s="181"/>
      <c r="BA374" s="181"/>
      <c r="BB374" s="181"/>
      <c r="BC374" s="181"/>
      <c r="BD374" s="181"/>
      <c r="BE374" s="181"/>
      <c r="BF374" s="181"/>
      <c r="BG374" s="181"/>
      <c r="BH374" s="181"/>
      <c r="BI374" s="181"/>
      <c r="BJ374" s="181"/>
      <c r="BK374" s="181"/>
      <c r="BL374" s="181"/>
      <c r="BM374" s="181"/>
      <c r="BN374" s="181"/>
      <c r="BO374" s="181"/>
      <c r="BP374" s="181"/>
      <c r="BQ374" s="181"/>
      <c r="BR374" s="181"/>
      <c r="BS374" s="181"/>
      <c r="BT374" s="181"/>
      <c r="BU374" s="181"/>
      <c r="BV374" s="181"/>
      <c r="BW374" s="181"/>
      <c r="BX374" s="181"/>
      <c r="BY374" s="181"/>
      <c r="BZ374" s="181"/>
      <c r="CA374" s="181"/>
      <c r="CB374" s="105"/>
      <c r="CC374" s="181"/>
      <c r="CD374" s="181"/>
      <c r="CE374" s="181"/>
      <c r="CF374" s="181"/>
      <c r="CG374" s="181"/>
      <c r="CH374" s="181"/>
      <c r="CI374" s="181"/>
      <c r="CJ374" s="181"/>
      <c r="CK374" s="181"/>
      <c r="CL374" s="181"/>
      <c r="CM374" s="181"/>
      <c r="CN374" s="181"/>
      <c r="CO374" s="181"/>
      <c r="CP374" s="181"/>
      <c r="CQ374" s="181"/>
      <c r="CR374" s="181"/>
      <c r="CS374" s="181"/>
      <c r="CT374" s="181"/>
      <c r="CU374" s="181"/>
      <c r="CV374" s="181"/>
      <c r="CW374" s="181"/>
      <c r="CX374" s="181"/>
      <c r="CY374" s="181"/>
      <c r="CZ374" s="181"/>
      <c r="DA374" s="181"/>
      <c r="DB374" s="181"/>
      <c r="DC374" s="181"/>
      <c r="DD374" s="181"/>
      <c r="DE374" s="181"/>
      <c r="DF374" s="181"/>
      <c r="DG374" s="181"/>
      <c r="DH374" s="181"/>
      <c r="DI374" s="181"/>
      <c r="DJ374" s="181"/>
      <c r="DK374" s="181"/>
      <c r="DL374" s="181"/>
      <c r="DM374" s="181"/>
      <c r="DN374" s="181"/>
      <c r="DO374" s="181"/>
      <c r="DP374" s="181"/>
      <c r="DQ374" s="181"/>
      <c r="DR374" s="181"/>
      <c r="DS374" s="181"/>
      <c r="DT374" s="181"/>
      <c r="DU374" s="181"/>
      <c r="DV374" s="181"/>
      <c r="DW374" s="181"/>
      <c r="DX374" s="181"/>
      <c r="DY374" s="181"/>
      <c r="DZ374" s="181"/>
      <c r="EA374" s="181"/>
      <c r="EB374" s="181"/>
      <c r="EC374" s="181"/>
      <c r="ED374" s="181"/>
      <c r="EE374" s="181"/>
      <c r="EF374" s="181"/>
      <c r="EG374" s="105"/>
      <c r="EH374" s="181"/>
      <c r="EI374" s="181"/>
      <c r="EJ374" s="105"/>
      <c r="EK374" s="105"/>
      <c r="EL374" s="181"/>
      <c r="EM374" s="181"/>
      <c r="EN374" s="105"/>
      <c r="EO374" s="105"/>
      <c r="EP374" s="181"/>
      <c r="EQ374" s="181"/>
      <c r="ER374" s="105"/>
      <c r="ES374" s="105"/>
      <c r="ET374" s="181"/>
      <c r="EU374" s="181"/>
      <c r="EV374" s="105"/>
      <c r="EW374" s="181"/>
      <c r="EX374" s="181"/>
      <c r="EY374" s="181"/>
      <c r="EZ374" s="181"/>
      <c r="FA374" s="181"/>
      <c r="FB374" s="181"/>
      <c r="FC374" s="103">
        <f>FF374</f>
        <v>68317.612040000007</v>
      </c>
      <c r="FD374" s="180"/>
      <c r="FE374" s="180"/>
      <c r="FF374" s="103">
        <f>FF375+FF376</f>
        <v>68317.612040000007</v>
      </c>
      <c r="FG374" s="103">
        <f t="shared" ref="FG374:FG381" si="788">FH374+FI374+FJ374</f>
        <v>0</v>
      </c>
      <c r="FH374" s="180"/>
      <c r="FI374" s="180"/>
      <c r="FJ374" s="103">
        <f>FJ375+FJ376</f>
        <v>0</v>
      </c>
      <c r="FK374" s="103"/>
      <c r="FL374" s="180"/>
      <c r="FM374" s="180"/>
      <c r="FN374" s="103"/>
      <c r="FO374" s="103">
        <f>FP374+FQ374+FR374</f>
        <v>68317.612040000007</v>
      </c>
      <c r="FP374" s="180"/>
      <c r="FQ374" s="180"/>
      <c r="FR374" s="103">
        <f>FR375+FR376</f>
        <v>68317.612040000007</v>
      </c>
      <c r="FS374" s="103">
        <f>FY374</f>
        <v>47385.404970000003</v>
      </c>
      <c r="FT374" s="577">
        <f>FS374/FC374</f>
        <v>0.69360452678374962</v>
      </c>
      <c r="FU374" s="103"/>
      <c r="FV374" s="577"/>
      <c r="FW374" s="105"/>
      <c r="FX374" s="105"/>
      <c r="FY374" s="103">
        <f>FY375+FY376</f>
        <v>47385.404970000003</v>
      </c>
      <c r="FZ374" s="577">
        <f>FY374/FF374</f>
        <v>0.69360452678374962</v>
      </c>
      <c r="GA374" s="103">
        <f>GG374</f>
        <v>47385.404970000003</v>
      </c>
      <c r="GB374" s="577">
        <f>GA374/FC374</f>
        <v>0.69360452678374962</v>
      </c>
      <c r="GC374" s="103"/>
      <c r="GD374" s="103"/>
      <c r="GE374" s="103"/>
      <c r="GF374" s="103"/>
      <c r="GG374" s="103">
        <f>GG375+GG376</f>
        <v>47385.404970000003</v>
      </c>
      <c r="GH374" s="577">
        <f>GG374/FF374</f>
        <v>0.69360452678374962</v>
      </c>
      <c r="GI374" s="103">
        <f>GO374</f>
        <v>68317.612040000007</v>
      </c>
      <c r="GJ374" s="577">
        <f t="shared" si="786"/>
        <v>1</v>
      </c>
      <c r="GK374" s="103"/>
      <c r="GL374" s="103"/>
      <c r="GM374" s="103"/>
      <c r="GN374" s="103"/>
      <c r="GO374" s="103">
        <f>GO375+GO376</f>
        <v>68317.612040000007</v>
      </c>
      <c r="GP374" s="577">
        <f t="shared" si="787"/>
        <v>1</v>
      </c>
      <c r="GQ374" s="103"/>
      <c r="GR374" s="103"/>
      <c r="GS374" s="103"/>
      <c r="GT374" s="103"/>
      <c r="GU374" s="105">
        <f>GX374</f>
        <v>79332.537000000011</v>
      </c>
      <c r="GV374" s="181">
        <f>GV375+GV376</f>
        <v>0</v>
      </c>
      <c r="GW374" s="181"/>
      <c r="GX374" s="103">
        <f>GX375+GX376</f>
        <v>79332.537000000011</v>
      </c>
      <c r="GY374" s="181"/>
      <c r="GZ374" s="181"/>
      <c r="HA374" s="181"/>
      <c r="HB374" s="181"/>
      <c r="HC374" s="181"/>
      <c r="HD374" s="181"/>
      <c r="HE374" s="181"/>
      <c r="HF374" s="181"/>
      <c r="HG374" s="103">
        <f>HH374+HI374+HJ374</f>
        <v>4.3000000005122274E-4</v>
      </c>
      <c r="HH374" s="181"/>
      <c r="HI374" s="181"/>
      <c r="HJ374" s="103">
        <f>HJ375+HJ376</f>
        <v>4.3000000005122274E-4</v>
      </c>
      <c r="HK374" s="105"/>
      <c r="HL374" s="181"/>
      <c r="HM374" s="181"/>
      <c r="HN374" s="105"/>
      <c r="HO374" s="105">
        <f>HP374+HQ374+HR374</f>
        <v>79332.537429999997</v>
      </c>
      <c r="HP374" s="181"/>
      <c r="HQ374" s="181"/>
      <c r="HR374" s="103">
        <f>HR375+HR376</f>
        <v>79332.537429999997</v>
      </c>
      <c r="HS374" s="105"/>
      <c r="HT374" s="181"/>
      <c r="HU374" s="181"/>
      <c r="HV374" s="105"/>
      <c r="HW374" s="105"/>
      <c r="HX374" s="181"/>
      <c r="HY374" s="181"/>
      <c r="HZ374" s="103"/>
      <c r="IA374" s="105"/>
      <c r="IB374" s="181"/>
      <c r="IC374" s="181"/>
      <c r="ID374" s="105"/>
      <c r="IE374" s="768"/>
      <c r="IF374" s="183"/>
      <c r="IG374" s="183"/>
      <c r="IH374" s="183"/>
    </row>
    <row r="375" spans="2:242" s="127" customFormat="1" ht="31.5" customHeight="1" x14ac:dyDescent="0.25">
      <c r="B375" s="632"/>
      <c r="C375" s="633" t="s">
        <v>132</v>
      </c>
      <c r="D375" s="117"/>
      <c r="E375" s="118"/>
      <c r="F375" s="118"/>
      <c r="G375" s="118"/>
      <c r="H375" s="118"/>
      <c r="I375" s="118"/>
      <c r="J375" s="118"/>
      <c r="K375" s="118"/>
      <c r="L375" s="118"/>
      <c r="M375" s="118"/>
      <c r="N375" s="118"/>
      <c r="O375" s="118"/>
      <c r="P375" s="118"/>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c r="BM375" s="119"/>
      <c r="BN375" s="119"/>
      <c r="BO375" s="119"/>
      <c r="BP375" s="119"/>
      <c r="BQ375" s="119"/>
      <c r="BR375" s="119"/>
      <c r="BS375" s="119"/>
      <c r="BT375" s="119"/>
      <c r="BU375" s="119"/>
      <c r="BV375" s="119"/>
      <c r="BW375" s="119"/>
      <c r="BX375" s="119"/>
      <c r="BY375" s="119"/>
      <c r="BZ375" s="119"/>
      <c r="CA375" s="119"/>
      <c r="CB375" s="272"/>
      <c r="CC375" s="119"/>
      <c r="CD375" s="119"/>
      <c r="CE375" s="119"/>
      <c r="CF375" s="119"/>
      <c r="CG375" s="119"/>
      <c r="CH375" s="119"/>
      <c r="CI375" s="119"/>
      <c r="CJ375" s="119"/>
      <c r="CK375" s="119"/>
      <c r="CL375" s="119"/>
      <c r="CM375" s="119"/>
      <c r="CN375" s="119"/>
      <c r="CO375" s="119"/>
      <c r="CP375" s="119"/>
      <c r="CQ375" s="119"/>
      <c r="CR375" s="119"/>
      <c r="CS375" s="119"/>
      <c r="CT375" s="119"/>
      <c r="CU375" s="119"/>
      <c r="CV375" s="119"/>
      <c r="CW375" s="119"/>
      <c r="CX375" s="119"/>
      <c r="CY375" s="119"/>
      <c r="CZ375" s="119"/>
      <c r="DA375" s="119"/>
      <c r="DB375" s="119"/>
      <c r="DC375" s="119"/>
      <c r="DD375" s="119"/>
      <c r="DE375" s="119"/>
      <c r="DF375" s="119"/>
      <c r="DG375" s="119"/>
      <c r="DH375" s="119"/>
      <c r="DI375" s="119"/>
      <c r="DJ375" s="119"/>
      <c r="DK375" s="119"/>
      <c r="DL375" s="119"/>
      <c r="DM375" s="119"/>
      <c r="DN375" s="119"/>
      <c r="DO375" s="119"/>
      <c r="DP375" s="119"/>
      <c r="DQ375" s="119"/>
      <c r="DR375" s="119"/>
      <c r="DS375" s="119"/>
      <c r="DT375" s="119"/>
      <c r="DU375" s="119"/>
      <c r="DV375" s="119"/>
      <c r="DW375" s="119"/>
      <c r="DX375" s="119"/>
      <c r="DY375" s="119"/>
      <c r="DZ375" s="119"/>
      <c r="EA375" s="119"/>
      <c r="EB375" s="119"/>
      <c r="EC375" s="119"/>
      <c r="ED375" s="119"/>
      <c r="EE375" s="119"/>
      <c r="EF375" s="119"/>
      <c r="EG375" s="272">
        <f>EH375+EI375+EJ375</f>
        <v>161343.9</v>
      </c>
      <c r="EH375" s="119">
        <v>161343.9</v>
      </c>
      <c r="EI375" s="119"/>
      <c r="EJ375" s="272">
        <v>0</v>
      </c>
      <c r="EK375" s="272">
        <f>EL375+EM375+EN375</f>
        <v>0</v>
      </c>
      <c r="EL375" s="119"/>
      <c r="EM375" s="119"/>
      <c r="EN375" s="272">
        <v>0</v>
      </c>
      <c r="EO375" s="272">
        <f>EP375+EQ375+ER375</f>
        <v>0</v>
      </c>
      <c r="EP375" s="119"/>
      <c r="EQ375" s="119"/>
      <c r="ER375" s="272">
        <v>0</v>
      </c>
      <c r="ES375" s="272">
        <f>ET375+EU375+EV375</f>
        <v>0</v>
      </c>
      <c r="ET375" s="119"/>
      <c r="EU375" s="119"/>
      <c r="EV375" s="272">
        <v>0</v>
      </c>
      <c r="EW375" s="119"/>
      <c r="EX375" s="119"/>
      <c r="EY375" s="119"/>
      <c r="EZ375" s="119"/>
      <c r="FA375" s="119"/>
      <c r="FB375" s="119"/>
      <c r="FC375" s="631">
        <f>FD375+FE375+FF375</f>
        <v>45772.800000000003</v>
      </c>
      <c r="FD375" s="118">
        <v>0</v>
      </c>
      <c r="FE375" s="118">
        <v>0</v>
      </c>
      <c r="FF375" s="118">
        <v>45772.800000000003</v>
      </c>
      <c r="FG375" s="631">
        <f t="shared" si="788"/>
        <v>0</v>
      </c>
      <c r="FH375" s="118">
        <f>FP375-FD375</f>
        <v>0</v>
      </c>
      <c r="FI375" s="118">
        <v>0</v>
      </c>
      <c r="FJ375" s="118">
        <f>FR375-FF375</f>
        <v>0</v>
      </c>
      <c r="FK375" s="631" t="e">
        <f>FL375+FM375+FN375</f>
        <v>#REF!</v>
      </c>
      <c r="FL375" s="118"/>
      <c r="FM375" s="118"/>
      <c r="FN375" s="631" t="e">
        <f>FR375-#REF!</f>
        <v>#REF!</v>
      </c>
      <c r="FO375" s="631">
        <f>FP375+FQ375+FR375</f>
        <v>45772.800000000003</v>
      </c>
      <c r="FP375" s="631">
        <v>0</v>
      </c>
      <c r="FQ375" s="118">
        <v>0</v>
      </c>
      <c r="FR375" s="631">
        <f>[15]безвозмездные_ФБ!$C$8</f>
        <v>45772.800000000003</v>
      </c>
      <c r="FS375" s="631">
        <f>FY375</f>
        <v>31748.221280000002</v>
      </c>
      <c r="FT375" s="586">
        <f>FS375/FC375</f>
        <v>0.69360452670581652</v>
      </c>
      <c r="FU375" s="631"/>
      <c r="FV375" s="586"/>
      <c r="FW375" s="272"/>
      <c r="FX375" s="272"/>
      <c r="FY375" s="631">
        <f>GG375</f>
        <v>31748.221280000002</v>
      </c>
      <c r="FZ375" s="586">
        <f>FY375/FF375</f>
        <v>0.69360452670581652</v>
      </c>
      <c r="GA375" s="631">
        <f>GG375</f>
        <v>31748.221280000002</v>
      </c>
      <c r="GB375" s="586">
        <f>GA375/FC375</f>
        <v>0.69360452670581652</v>
      </c>
      <c r="GC375" s="631"/>
      <c r="GD375" s="631"/>
      <c r="GE375" s="631"/>
      <c r="GF375" s="631"/>
      <c r="GG375" s="631">
        <v>31748.221280000002</v>
      </c>
      <c r="GH375" s="586">
        <f>GG375/FF375</f>
        <v>0.69360452670581652</v>
      </c>
      <c r="GI375" s="631">
        <f>GO375</f>
        <v>45772.800000000003</v>
      </c>
      <c r="GJ375" s="586">
        <f t="shared" si="786"/>
        <v>1</v>
      </c>
      <c r="GK375" s="631"/>
      <c r="GL375" s="631"/>
      <c r="GM375" s="631"/>
      <c r="GN375" s="631"/>
      <c r="GO375" s="631">
        <f>FF375</f>
        <v>45772.800000000003</v>
      </c>
      <c r="GP375" s="586">
        <f t="shared" si="787"/>
        <v>1</v>
      </c>
      <c r="GQ375" s="631"/>
      <c r="GR375" s="631"/>
      <c r="GS375" s="631"/>
      <c r="GT375" s="631"/>
      <c r="GU375" s="272">
        <f>GV375+GW375+GX375</f>
        <v>53152.800000000003</v>
      </c>
      <c r="GV375" s="272">
        <v>0</v>
      </c>
      <c r="GW375" s="119"/>
      <c r="GX375" s="272">
        <v>53152.800000000003</v>
      </c>
      <c r="GY375" s="119"/>
      <c r="GZ375" s="119"/>
      <c r="HA375" s="119"/>
      <c r="HB375" s="119"/>
      <c r="HC375" s="119"/>
      <c r="HD375" s="119"/>
      <c r="HE375" s="119"/>
      <c r="HF375" s="119"/>
      <c r="HG375" s="272">
        <f>HH375+HI375+HJ375</f>
        <v>0</v>
      </c>
      <c r="HH375" s="119">
        <v>0</v>
      </c>
      <c r="HI375" s="119"/>
      <c r="HJ375" s="631">
        <f>HR375-GX375</f>
        <v>0</v>
      </c>
      <c r="HK375" s="272">
        <f>HL375+HM375+HN375</f>
        <v>0</v>
      </c>
      <c r="HL375" s="119"/>
      <c r="HM375" s="119"/>
      <c r="HN375" s="272"/>
      <c r="HO375" s="272">
        <f>HP375+HQ375+HR375</f>
        <v>53152.800000000003</v>
      </c>
      <c r="HP375" s="119">
        <v>0</v>
      </c>
      <c r="HQ375" s="119"/>
      <c r="HR375" s="272">
        <f>[15]безвозмездные_ФБ!$D$8</f>
        <v>53152.800000000003</v>
      </c>
      <c r="HS375" s="272">
        <f>HT375+HU375+HV375</f>
        <v>0</v>
      </c>
      <c r="HT375" s="272">
        <v>0</v>
      </c>
      <c r="HU375" s="119"/>
      <c r="HV375" s="272">
        <v>0</v>
      </c>
      <c r="HW375" s="272">
        <f>HX375+HY375+HZ375</f>
        <v>0</v>
      </c>
      <c r="HX375" s="119"/>
      <c r="HY375" s="119"/>
      <c r="HZ375" s="272"/>
      <c r="IA375" s="272">
        <f>IB375+IC375+ID375</f>
        <v>0</v>
      </c>
      <c r="IB375" s="272">
        <v>0</v>
      </c>
      <c r="IC375" s="119"/>
      <c r="ID375" s="272">
        <v>0</v>
      </c>
      <c r="IE375" s="768"/>
      <c r="IF375" s="126"/>
      <c r="IG375" s="126"/>
      <c r="IH375" s="126"/>
    </row>
    <row r="376" spans="2:242" s="171" customFormat="1" ht="37.5" customHeight="1" x14ac:dyDescent="0.25">
      <c r="B376" s="351"/>
      <c r="C376" s="172" t="s">
        <v>131</v>
      </c>
      <c r="D376" s="162"/>
      <c r="E376" s="163"/>
      <c r="F376" s="163"/>
      <c r="G376" s="163"/>
      <c r="H376" s="163"/>
      <c r="I376" s="163"/>
      <c r="J376" s="163"/>
      <c r="K376" s="163"/>
      <c r="L376" s="163"/>
      <c r="M376" s="163"/>
      <c r="N376" s="163"/>
      <c r="O376" s="163"/>
      <c r="P376" s="163"/>
      <c r="Q376" s="164"/>
      <c r="R376" s="164"/>
      <c r="S376" s="164"/>
      <c r="T376" s="164"/>
      <c r="U376" s="164"/>
      <c r="V376" s="164"/>
      <c r="W376" s="164"/>
      <c r="X376" s="164"/>
      <c r="Y376" s="164"/>
      <c r="Z376" s="164"/>
      <c r="AA376" s="164"/>
      <c r="AB376" s="164"/>
      <c r="AC376" s="164"/>
      <c r="AD376" s="164"/>
      <c r="AE376" s="164"/>
      <c r="AF376" s="164"/>
      <c r="AG376" s="164"/>
      <c r="AH376" s="164"/>
      <c r="AI376" s="164"/>
      <c r="AJ376" s="164"/>
      <c r="AK376" s="164"/>
      <c r="AL376" s="164"/>
      <c r="AM376" s="164"/>
      <c r="AN376" s="164"/>
      <c r="AO376" s="164"/>
      <c r="AP376" s="164"/>
      <c r="AQ376" s="164"/>
      <c r="AR376" s="164"/>
      <c r="AS376" s="164"/>
      <c r="AT376" s="164"/>
      <c r="AU376" s="164"/>
      <c r="AV376" s="164"/>
      <c r="AW376" s="164"/>
      <c r="AX376" s="164"/>
      <c r="AY376" s="164"/>
      <c r="AZ376" s="164"/>
      <c r="BA376" s="164"/>
      <c r="BB376" s="164"/>
      <c r="BC376" s="164"/>
      <c r="BD376" s="164"/>
      <c r="BE376" s="164"/>
      <c r="BF376" s="164"/>
      <c r="BG376" s="164"/>
      <c r="BH376" s="164"/>
      <c r="BI376" s="164"/>
      <c r="BJ376" s="164"/>
      <c r="BK376" s="164"/>
      <c r="BL376" s="164"/>
      <c r="BM376" s="164"/>
      <c r="BN376" s="164"/>
      <c r="BO376" s="164"/>
      <c r="BP376" s="164"/>
      <c r="BQ376" s="164"/>
      <c r="BR376" s="164"/>
      <c r="BS376" s="164"/>
      <c r="BT376" s="164"/>
      <c r="BU376" s="164"/>
      <c r="BV376" s="164"/>
      <c r="BW376" s="164"/>
      <c r="BX376" s="164"/>
      <c r="BY376" s="164"/>
      <c r="BZ376" s="164"/>
      <c r="CA376" s="164"/>
      <c r="CB376" s="144"/>
      <c r="CC376" s="164"/>
      <c r="CD376" s="164"/>
      <c r="CE376" s="164"/>
      <c r="CF376" s="164"/>
      <c r="CG376" s="164"/>
      <c r="CH376" s="164"/>
      <c r="CI376" s="164"/>
      <c r="CJ376" s="164"/>
      <c r="CK376" s="164"/>
      <c r="CL376" s="164"/>
      <c r="CM376" s="164"/>
      <c r="CN376" s="164"/>
      <c r="CO376" s="164"/>
      <c r="CP376" s="164"/>
      <c r="CQ376" s="164"/>
      <c r="CR376" s="164"/>
      <c r="CS376" s="164"/>
      <c r="CT376" s="164"/>
      <c r="CU376" s="164"/>
      <c r="CV376" s="164"/>
      <c r="CW376" s="164"/>
      <c r="CX376" s="164"/>
      <c r="CY376" s="164"/>
      <c r="CZ376" s="164"/>
      <c r="DA376" s="164"/>
      <c r="DB376" s="164"/>
      <c r="DC376" s="164"/>
      <c r="DD376" s="164"/>
      <c r="DE376" s="164"/>
      <c r="DF376" s="164"/>
      <c r="DG376" s="164"/>
      <c r="DH376" s="164"/>
      <c r="DI376" s="164"/>
      <c r="DJ376" s="164"/>
      <c r="DK376" s="164"/>
      <c r="DL376" s="164"/>
      <c r="DM376" s="164"/>
      <c r="DN376" s="164"/>
      <c r="DO376" s="164"/>
      <c r="DP376" s="164"/>
      <c r="DQ376" s="164"/>
      <c r="DR376" s="164"/>
      <c r="DS376" s="164"/>
      <c r="DT376" s="164"/>
      <c r="DU376" s="164"/>
      <c r="DV376" s="164"/>
      <c r="DW376" s="164"/>
      <c r="DX376" s="164"/>
      <c r="DY376" s="164"/>
      <c r="DZ376" s="164"/>
      <c r="EA376" s="164"/>
      <c r="EB376" s="164"/>
      <c r="EC376" s="164"/>
      <c r="ED376" s="164"/>
      <c r="EE376" s="164"/>
      <c r="EF376" s="164"/>
      <c r="EG376" s="144">
        <f>EH376+EI376+EJ376</f>
        <v>167929.4</v>
      </c>
      <c r="EH376" s="144">
        <v>167929.4</v>
      </c>
      <c r="EI376" s="164"/>
      <c r="EJ376" s="144">
        <v>0</v>
      </c>
      <c r="EK376" s="144">
        <f>EL376+EM376+EN376</f>
        <v>0</v>
      </c>
      <c r="EL376" s="164"/>
      <c r="EM376" s="164"/>
      <c r="EN376" s="144">
        <v>0</v>
      </c>
      <c r="EO376" s="144">
        <f>EP376+EQ376+ER376</f>
        <v>0</v>
      </c>
      <c r="EP376" s="164"/>
      <c r="EQ376" s="164"/>
      <c r="ER376" s="144">
        <v>0</v>
      </c>
      <c r="ES376" s="144">
        <f>ET376+EU376+EV376</f>
        <v>0</v>
      </c>
      <c r="ET376" s="164"/>
      <c r="EU376" s="164"/>
      <c r="EV376" s="144">
        <v>0</v>
      </c>
      <c r="EW376" s="164"/>
      <c r="EX376" s="164"/>
      <c r="EY376" s="164"/>
      <c r="EZ376" s="164"/>
      <c r="FA376" s="164"/>
      <c r="FB376" s="164"/>
      <c r="FC376" s="163">
        <f>FD376+FE376+FF376</f>
        <v>22544.812040000001</v>
      </c>
      <c r="FD376" s="163">
        <v>0</v>
      </c>
      <c r="FE376" s="163">
        <v>0</v>
      </c>
      <c r="FF376" s="163">
        <v>22544.812040000001</v>
      </c>
      <c r="FG376" s="143">
        <f t="shared" si="788"/>
        <v>0</v>
      </c>
      <c r="FH376" s="163">
        <f>FP376-FD376</f>
        <v>0</v>
      </c>
      <c r="FI376" s="163">
        <v>0</v>
      </c>
      <c r="FJ376" s="143">
        <f>FR376-FF376</f>
        <v>0</v>
      </c>
      <c r="FK376" s="143" t="e">
        <f>FL376+FM376+FN376</f>
        <v>#REF!</v>
      </c>
      <c r="FL376" s="163"/>
      <c r="FM376" s="163"/>
      <c r="FN376" s="143" t="e">
        <f>FR376-#REF!</f>
        <v>#REF!</v>
      </c>
      <c r="FO376" s="143">
        <f>FP376+FQ376+FR376</f>
        <v>22544.812040000001</v>
      </c>
      <c r="FP376" s="143">
        <v>0</v>
      </c>
      <c r="FQ376" s="163">
        <v>0</v>
      </c>
      <c r="FR376" s="143">
        <v>22544.812040000001</v>
      </c>
      <c r="FS376" s="143">
        <f>FY376</f>
        <v>15637.18369</v>
      </c>
      <c r="FT376" s="575">
        <f>FS376/FC376</f>
        <v>0.6936045269419775</v>
      </c>
      <c r="FU376" s="143"/>
      <c r="FV376" s="575"/>
      <c r="FW376" s="143"/>
      <c r="FX376" s="143"/>
      <c r="FY376" s="143">
        <f>GG376</f>
        <v>15637.18369</v>
      </c>
      <c r="FZ376" s="575">
        <f>FY376/FF376</f>
        <v>0.6936045269419775</v>
      </c>
      <c r="GA376" s="143">
        <f>GG376</f>
        <v>15637.18369</v>
      </c>
      <c r="GB376" s="575">
        <f>GA376/FC376</f>
        <v>0.6936045269419775</v>
      </c>
      <c r="GC376" s="143"/>
      <c r="GD376" s="143"/>
      <c r="GE376" s="143"/>
      <c r="GF376" s="143"/>
      <c r="GG376" s="143">
        <v>15637.18369</v>
      </c>
      <c r="GH376" s="575">
        <f>GG376/FF376</f>
        <v>0.6936045269419775</v>
      </c>
      <c r="GI376" s="143">
        <f>GO376</f>
        <v>22544.812040000001</v>
      </c>
      <c r="GJ376" s="575">
        <f t="shared" si="786"/>
        <v>1</v>
      </c>
      <c r="GK376" s="143"/>
      <c r="GL376" s="143"/>
      <c r="GM376" s="143"/>
      <c r="GN376" s="143"/>
      <c r="GO376" s="143">
        <f>FF376</f>
        <v>22544.812040000001</v>
      </c>
      <c r="GP376" s="575">
        <f t="shared" si="787"/>
        <v>1</v>
      </c>
      <c r="GQ376" s="143"/>
      <c r="GR376" s="143"/>
      <c r="GS376" s="143"/>
      <c r="GT376" s="143"/>
      <c r="GU376" s="144">
        <f>GV376+GW376+GX376</f>
        <v>26179.737000000001</v>
      </c>
      <c r="GV376" s="144">
        <v>0</v>
      </c>
      <c r="GW376" s="164"/>
      <c r="GX376" s="144">
        <v>26179.737000000001</v>
      </c>
      <c r="GY376" s="164"/>
      <c r="GZ376" s="164"/>
      <c r="HA376" s="164"/>
      <c r="HB376" s="164"/>
      <c r="HC376" s="164"/>
      <c r="HD376" s="164"/>
      <c r="HE376" s="164"/>
      <c r="HF376" s="164"/>
      <c r="HG376" s="143">
        <f>HH376+HI376+HJ376</f>
        <v>4.3000000005122274E-4</v>
      </c>
      <c r="HH376" s="164">
        <v>0</v>
      </c>
      <c r="HI376" s="164"/>
      <c r="HJ376" s="143">
        <f>HR376-GX376</f>
        <v>4.3000000005122274E-4</v>
      </c>
      <c r="HK376" s="144">
        <f>HL376+HM376+HN376</f>
        <v>0</v>
      </c>
      <c r="HL376" s="164"/>
      <c r="HM376" s="164"/>
      <c r="HN376" s="144"/>
      <c r="HO376" s="144">
        <f>HP376+HQ376+HR376</f>
        <v>26179.737430000001</v>
      </c>
      <c r="HP376" s="164">
        <v>0</v>
      </c>
      <c r="HQ376" s="164"/>
      <c r="HR376" s="143">
        <v>26179.737430000001</v>
      </c>
      <c r="HS376" s="144">
        <f>HT376+HU376+HV376</f>
        <v>0</v>
      </c>
      <c r="HT376" s="144">
        <v>0</v>
      </c>
      <c r="HU376" s="164"/>
      <c r="HV376" s="144">
        <v>0</v>
      </c>
      <c r="HW376" s="144">
        <f>HX376+HY376+HZ376</f>
        <v>0</v>
      </c>
      <c r="HX376" s="164"/>
      <c r="HY376" s="164"/>
      <c r="HZ376" s="144"/>
      <c r="IA376" s="144">
        <f>IB376+IC376+ID376</f>
        <v>0</v>
      </c>
      <c r="IB376" s="144">
        <v>0</v>
      </c>
      <c r="IC376" s="164"/>
      <c r="ID376" s="144">
        <v>0</v>
      </c>
      <c r="IE376" s="769"/>
      <c r="IF376" s="170"/>
      <c r="IG376" s="170"/>
      <c r="IH376" s="170"/>
    </row>
    <row r="377" spans="2:242" s="251" customFormat="1" ht="198" customHeight="1" x14ac:dyDescent="0.25">
      <c r="B377" s="256" t="s">
        <v>78</v>
      </c>
      <c r="C377" s="360" t="s">
        <v>440</v>
      </c>
      <c r="D377" s="355"/>
      <c r="E377" s="201"/>
      <c r="F377" s="201"/>
      <c r="G377" s="201"/>
      <c r="H377" s="201"/>
      <c r="I377" s="201"/>
      <c r="J377" s="201"/>
      <c r="K377" s="201"/>
      <c r="L377" s="201"/>
      <c r="M377" s="201"/>
      <c r="N377" s="201"/>
      <c r="O377" s="201"/>
      <c r="P377" s="201"/>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2"/>
      <c r="AP377" s="192"/>
      <c r="AQ377" s="192"/>
      <c r="AR377" s="192"/>
      <c r="AS377" s="192"/>
      <c r="AT377" s="192"/>
      <c r="AU377" s="192"/>
      <c r="AV377" s="192"/>
      <c r="AW377" s="192"/>
      <c r="AX377" s="192"/>
      <c r="AY377" s="192"/>
      <c r="AZ377" s="192"/>
      <c r="BA377" s="192"/>
      <c r="BB377" s="192"/>
      <c r="BC377" s="192"/>
      <c r="BD377" s="192"/>
      <c r="BE377" s="192"/>
      <c r="BF377" s="192"/>
      <c r="BG377" s="192"/>
      <c r="BH377" s="192"/>
      <c r="BI377" s="192"/>
      <c r="BJ377" s="192"/>
      <c r="BK377" s="192"/>
      <c r="BL377" s="192"/>
      <c r="BM377" s="192"/>
      <c r="BN377" s="192"/>
      <c r="BO377" s="192"/>
      <c r="BP377" s="192"/>
      <c r="BQ377" s="192"/>
      <c r="BR377" s="192"/>
      <c r="BS377" s="192"/>
      <c r="BT377" s="192"/>
      <c r="BU377" s="192"/>
      <c r="BV377" s="192"/>
      <c r="BW377" s="192"/>
      <c r="BX377" s="192"/>
      <c r="BY377" s="192"/>
      <c r="BZ377" s="192"/>
      <c r="CA377" s="192"/>
      <c r="CB377" s="153">
        <f>CD377</f>
        <v>0</v>
      </c>
      <c r="CC377" s="192"/>
      <c r="CD377" s="192">
        <v>0</v>
      </c>
      <c r="CE377" s="192"/>
      <c r="CF377" s="192"/>
      <c r="CG377" s="192"/>
      <c r="CH377" s="192"/>
      <c r="CI377" s="192"/>
      <c r="CJ377" s="192"/>
      <c r="CK377" s="192"/>
      <c r="CL377" s="192"/>
      <c r="CM377" s="192"/>
      <c r="CN377" s="192"/>
      <c r="CO377" s="192"/>
      <c r="CP377" s="192"/>
      <c r="CQ377" s="192"/>
      <c r="CR377" s="192"/>
      <c r="CS377" s="192"/>
      <c r="CT377" s="192">
        <f>CU377+CV377</f>
        <v>0</v>
      </c>
      <c r="CU377" s="192"/>
      <c r="CV377" s="192">
        <f>CY377-CD377</f>
        <v>0</v>
      </c>
      <c r="CW377" s="192">
        <f>CX377+CY377</f>
        <v>0</v>
      </c>
      <c r="CX377" s="192"/>
      <c r="CY377" s="192">
        <v>0</v>
      </c>
      <c r="CZ377" s="192">
        <f>DA377+DB377</f>
        <v>0</v>
      </c>
      <c r="DA377" s="192"/>
      <c r="DB377" s="192">
        <v>0</v>
      </c>
      <c r="DC377" s="192">
        <f>DD377+DE377</f>
        <v>0</v>
      </c>
      <c r="DD377" s="192"/>
      <c r="DE377" s="192">
        <f>DW377-DB377</f>
        <v>0</v>
      </c>
      <c r="DF377" s="192">
        <v>0</v>
      </c>
      <c r="DG377" s="192"/>
      <c r="DH377" s="192"/>
      <c r="DI377" s="192">
        <v>0</v>
      </c>
      <c r="DJ377" s="192"/>
      <c r="DK377" s="192"/>
      <c r="DL377" s="192"/>
      <c r="DM377" s="192"/>
      <c r="DN377" s="192"/>
      <c r="DO377" s="192"/>
      <c r="DP377" s="192"/>
      <c r="DQ377" s="192"/>
      <c r="DR377" s="192"/>
      <c r="DS377" s="192"/>
      <c r="DT377" s="192"/>
      <c r="DU377" s="192">
        <f>DV377+DW377</f>
        <v>0</v>
      </c>
      <c r="DV377" s="192"/>
      <c r="DW377" s="192">
        <v>0</v>
      </c>
      <c r="DX377" s="192"/>
      <c r="DY377" s="192"/>
      <c r="DZ377" s="192"/>
      <c r="EA377" s="192"/>
      <c r="EB377" s="192"/>
      <c r="EC377" s="192"/>
      <c r="ED377" s="192">
        <f>EF377</f>
        <v>0</v>
      </c>
      <c r="EE377" s="192"/>
      <c r="EF377" s="192">
        <f>EJ377-DW377</f>
        <v>0</v>
      </c>
      <c r="EG377" s="153">
        <f>EH377</f>
        <v>30000</v>
      </c>
      <c r="EH377" s="192">
        <v>30000</v>
      </c>
      <c r="EI377" s="192"/>
      <c r="EJ377" s="192"/>
      <c r="EK377" s="153">
        <f>EL377</f>
        <v>0</v>
      </c>
      <c r="EL377" s="192">
        <f>SUM(EL379:EL383)</f>
        <v>0</v>
      </c>
      <c r="EM377" s="192"/>
      <c r="EN377" s="192">
        <f>EV377-EJ377</f>
        <v>0</v>
      </c>
      <c r="EO377" s="153">
        <f>ER377</f>
        <v>0</v>
      </c>
      <c r="EP377" s="192"/>
      <c r="EQ377" s="192"/>
      <c r="ER377" s="192"/>
      <c r="ES377" s="153">
        <f>ET377</f>
        <v>0</v>
      </c>
      <c r="ET377" s="192">
        <f>ET379+ET380+ET381+ET382+ET383</f>
        <v>0</v>
      </c>
      <c r="EU377" s="192"/>
      <c r="EV377" s="192"/>
      <c r="EW377" s="192">
        <f>EX377+EY377</f>
        <v>0</v>
      </c>
      <c r="EX377" s="192">
        <v>0</v>
      </c>
      <c r="EY377" s="192">
        <v>0</v>
      </c>
      <c r="EZ377" s="192">
        <f>FA377+FB377</f>
        <v>46390.272960000002</v>
      </c>
      <c r="FA377" s="192">
        <f>FD377-EX377</f>
        <v>46390.272960000002</v>
      </c>
      <c r="FB377" s="192">
        <v>0</v>
      </c>
      <c r="FC377" s="201">
        <f>FD377+FF377</f>
        <v>46390.272960000002</v>
      </c>
      <c r="FD377" s="201">
        <f>SUM(FD378:FD383)</f>
        <v>46390.272960000002</v>
      </c>
      <c r="FE377" s="201">
        <v>0</v>
      </c>
      <c r="FF377" s="201">
        <v>0</v>
      </c>
      <c r="FG377" s="201">
        <f t="shared" si="788"/>
        <v>4793.6494199999988</v>
      </c>
      <c r="FH377" s="201">
        <f>SUM(FH378:FH383)</f>
        <v>4793.6494199999988</v>
      </c>
      <c r="FI377" s="201"/>
      <c r="FJ377" s="201"/>
      <c r="FK377" s="152">
        <f>FN377</f>
        <v>0</v>
      </c>
      <c r="FL377" s="201"/>
      <c r="FM377" s="201"/>
      <c r="FN377" s="201"/>
      <c r="FO377" s="152">
        <f>FP377</f>
        <v>51183.922380000004</v>
      </c>
      <c r="FP377" s="201">
        <f>SUM(FP378:FP383)</f>
        <v>51183.922380000004</v>
      </c>
      <c r="FQ377" s="201"/>
      <c r="FR377" s="201">
        <v>0</v>
      </c>
      <c r="FS377" s="201">
        <f>FU377</f>
        <v>12001.54895</v>
      </c>
      <c r="FT377" s="577">
        <f>FS377/FC377</f>
        <v>0.25870830638026926</v>
      </c>
      <c r="FU377" s="201">
        <f>SUM(FU378:FU383)</f>
        <v>12001.54895</v>
      </c>
      <c r="FV377" s="577">
        <f>FU377/FD377</f>
        <v>0.25870830638026926</v>
      </c>
      <c r="FW377" s="192"/>
      <c r="FX377" s="192"/>
      <c r="FY377" s="201"/>
      <c r="FZ377" s="577"/>
      <c r="GA377" s="201">
        <f>GC377</f>
        <v>8793.9398500000007</v>
      </c>
      <c r="GB377" s="577">
        <f>GA377/FC377</f>
        <v>0.18956430494777585</v>
      </c>
      <c r="GC377" s="201">
        <f>SUM(GC378:GC383)</f>
        <v>8793.9398500000007</v>
      </c>
      <c r="GD377" s="577">
        <f>GC377/FD377</f>
        <v>0.18956430494777585</v>
      </c>
      <c r="GE377" s="201"/>
      <c r="GF377" s="192"/>
      <c r="GG377" s="201"/>
      <c r="GH377" s="192"/>
      <c r="GI377" s="201">
        <f t="shared" ref="GI377:GI383" si="789">GK377</f>
        <v>37228.272960000002</v>
      </c>
      <c r="GJ377" s="577">
        <f t="shared" si="786"/>
        <v>0.80250170099451812</v>
      </c>
      <c r="GK377" s="201">
        <f>SUM(GK379:GK383)</f>
        <v>37228.272960000002</v>
      </c>
      <c r="GL377" s="499">
        <f>GK377/FD377</f>
        <v>0.80250170099451812</v>
      </c>
      <c r="GM377" s="201"/>
      <c r="GN377" s="192"/>
      <c r="GO377" s="201"/>
      <c r="GP377" s="577"/>
      <c r="GQ377" s="192"/>
      <c r="GR377" s="192"/>
      <c r="GS377" s="192"/>
      <c r="GT377" s="192"/>
      <c r="GU377" s="153">
        <f t="shared" ref="GU377:GU383" si="790">GV377</f>
        <v>135552.56299999999</v>
      </c>
      <c r="GV377" s="201">
        <f>SUM(GV378:GV383)</f>
        <v>135552.56299999999</v>
      </c>
      <c r="GW377" s="192"/>
      <c r="GX377" s="192"/>
      <c r="GY377" s="192"/>
      <c r="GZ377" s="192"/>
      <c r="HA377" s="192"/>
      <c r="HB377" s="192"/>
      <c r="HC377" s="192"/>
      <c r="HD377" s="192"/>
      <c r="HE377" s="192"/>
      <c r="HF377" s="192"/>
      <c r="HG377" s="192">
        <f>HH377+HJ377</f>
        <v>0</v>
      </c>
      <c r="HH377" s="201">
        <f>SUM(HH378:HH383)</f>
        <v>0</v>
      </c>
      <c r="HI377" s="192"/>
      <c r="HJ377" s="192">
        <v>0</v>
      </c>
      <c r="HK377" s="153" t="e">
        <f>HL377</f>
        <v>#REF!</v>
      </c>
      <c r="HL377" s="192" t="e">
        <f>HL379+HL380+HL381+HL382+HL383</f>
        <v>#REF!</v>
      </c>
      <c r="HM377" s="192"/>
      <c r="HN377" s="192"/>
      <c r="HO377" s="153">
        <f t="shared" ref="HO377:HO383" si="791">HP377</f>
        <v>135552.56299999999</v>
      </c>
      <c r="HP377" s="201">
        <f>SUM(HP378:HP383)</f>
        <v>135552.56299999999</v>
      </c>
      <c r="HQ377" s="192"/>
      <c r="HR377" s="192">
        <v>0</v>
      </c>
      <c r="HS377" s="153">
        <f>HT377</f>
        <v>0</v>
      </c>
      <c r="HT377" s="201">
        <f>SUM(HT378:HT383)</f>
        <v>0</v>
      </c>
      <c r="HU377" s="192"/>
      <c r="HV377" s="192"/>
      <c r="HW377" s="153">
        <f>HX377</f>
        <v>0</v>
      </c>
      <c r="HX377" s="201">
        <f>SUM(HX378:HX383)</f>
        <v>0</v>
      </c>
      <c r="HY377" s="192"/>
      <c r="HZ377" s="192"/>
      <c r="IA377" s="153">
        <f>IB377</f>
        <v>0</v>
      </c>
      <c r="IB377" s="201">
        <f>SUM(IB378:IB383)</f>
        <v>0</v>
      </c>
      <c r="IC377" s="192"/>
      <c r="ID377" s="192"/>
      <c r="IE377" s="302" t="s">
        <v>441</v>
      </c>
      <c r="IF377" s="356"/>
      <c r="IG377" s="356"/>
      <c r="IH377" s="356"/>
    </row>
    <row r="378" spans="2:242" s="251" customFormat="1" ht="137.25" hidden="1" customHeight="1" x14ac:dyDescent="0.25">
      <c r="B378" s="256" t="s">
        <v>134</v>
      </c>
      <c r="C378" s="172" t="s">
        <v>486</v>
      </c>
      <c r="D378" s="355"/>
      <c r="E378" s="201"/>
      <c r="F378" s="201"/>
      <c r="G378" s="201"/>
      <c r="H378" s="201"/>
      <c r="I378" s="201"/>
      <c r="J378" s="201"/>
      <c r="K378" s="201"/>
      <c r="L378" s="201"/>
      <c r="M378" s="201"/>
      <c r="N378" s="201"/>
      <c r="O378" s="201"/>
      <c r="P378" s="201"/>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192"/>
      <c r="AL378" s="192"/>
      <c r="AM378" s="192"/>
      <c r="AN378" s="192"/>
      <c r="AO378" s="192"/>
      <c r="AP378" s="192"/>
      <c r="AQ378" s="192"/>
      <c r="AR378" s="192"/>
      <c r="AS378" s="192"/>
      <c r="AT378" s="192"/>
      <c r="AU378" s="192"/>
      <c r="AV378" s="192"/>
      <c r="AW378" s="192"/>
      <c r="AX378" s="192"/>
      <c r="AY378" s="192"/>
      <c r="AZ378" s="192"/>
      <c r="BA378" s="192"/>
      <c r="BB378" s="192"/>
      <c r="BC378" s="192"/>
      <c r="BD378" s="192"/>
      <c r="BE378" s="192"/>
      <c r="BF378" s="192"/>
      <c r="BG378" s="192"/>
      <c r="BH378" s="192"/>
      <c r="BI378" s="192"/>
      <c r="BJ378" s="192"/>
      <c r="BK378" s="192"/>
      <c r="BL378" s="192"/>
      <c r="BM378" s="192"/>
      <c r="BN378" s="192"/>
      <c r="BO378" s="192"/>
      <c r="BP378" s="192"/>
      <c r="BQ378" s="192"/>
      <c r="BR378" s="192"/>
      <c r="BS378" s="192"/>
      <c r="BT378" s="192"/>
      <c r="BU378" s="192"/>
      <c r="BV378" s="192"/>
      <c r="BW378" s="192"/>
      <c r="BX378" s="192"/>
      <c r="BY378" s="192"/>
      <c r="BZ378" s="192"/>
      <c r="CA378" s="192"/>
      <c r="CB378" s="153"/>
      <c r="CC378" s="192"/>
      <c r="CD378" s="192"/>
      <c r="CE378" s="192"/>
      <c r="CF378" s="192"/>
      <c r="CG378" s="192"/>
      <c r="CH378" s="192"/>
      <c r="CI378" s="192"/>
      <c r="CJ378" s="192"/>
      <c r="CK378" s="192"/>
      <c r="CL378" s="192"/>
      <c r="CM378" s="192"/>
      <c r="CN378" s="192"/>
      <c r="CO378" s="192"/>
      <c r="CP378" s="192"/>
      <c r="CQ378" s="192"/>
      <c r="CR378" s="192"/>
      <c r="CS378" s="192"/>
      <c r="CT378" s="192"/>
      <c r="CU378" s="192"/>
      <c r="CV378" s="192"/>
      <c r="CW378" s="192"/>
      <c r="CX378" s="192"/>
      <c r="CY378" s="192"/>
      <c r="CZ378" s="192"/>
      <c r="DA378" s="192"/>
      <c r="DB378" s="192"/>
      <c r="DC378" s="192"/>
      <c r="DD378" s="192"/>
      <c r="DE378" s="192"/>
      <c r="DF378" s="192"/>
      <c r="DG378" s="192"/>
      <c r="DH378" s="192"/>
      <c r="DI378" s="192"/>
      <c r="DJ378" s="192"/>
      <c r="DK378" s="192"/>
      <c r="DL378" s="192"/>
      <c r="DM378" s="192"/>
      <c r="DN378" s="192"/>
      <c r="DO378" s="192"/>
      <c r="DP378" s="192"/>
      <c r="DQ378" s="192"/>
      <c r="DR378" s="192"/>
      <c r="DS378" s="192"/>
      <c r="DT378" s="192"/>
      <c r="DU378" s="192"/>
      <c r="DV378" s="192"/>
      <c r="DW378" s="192"/>
      <c r="DX378" s="192"/>
      <c r="DY378" s="192"/>
      <c r="DZ378" s="192"/>
      <c r="EA378" s="192"/>
      <c r="EB378" s="192"/>
      <c r="EC378" s="192"/>
      <c r="ED378" s="192"/>
      <c r="EE378" s="192"/>
      <c r="EF378" s="192"/>
      <c r="EG378" s="153"/>
      <c r="EH378" s="192"/>
      <c r="EI378" s="192"/>
      <c r="EJ378" s="192"/>
      <c r="EK378" s="153"/>
      <c r="EL378" s="192"/>
      <c r="EM378" s="192"/>
      <c r="EN378" s="192"/>
      <c r="EO378" s="153"/>
      <c r="EP378" s="192"/>
      <c r="EQ378" s="192"/>
      <c r="ER378" s="192"/>
      <c r="ES378" s="153"/>
      <c r="ET378" s="192"/>
      <c r="EU378" s="192"/>
      <c r="EV378" s="192"/>
      <c r="EW378" s="192"/>
      <c r="EX378" s="192"/>
      <c r="EY378" s="192"/>
      <c r="EZ378" s="192"/>
      <c r="FA378" s="192"/>
      <c r="FB378" s="192"/>
      <c r="FC378" s="201">
        <f t="shared" ref="FC378:FC383" si="792">FD378</f>
        <v>0</v>
      </c>
      <c r="FD378" s="143">
        <v>0</v>
      </c>
      <c r="FE378" s="201"/>
      <c r="FF378" s="201"/>
      <c r="FG378" s="201">
        <f t="shared" si="788"/>
        <v>0</v>
      </c>
      <c r="FH378" s="163">
        <f t="shared" ref="FH378:FH383" si="793">FP378-FD378</f>
        <v>0</v>
      </c>
      <c r="FI378" s="201"/>
      <c r="FJ378" s="201"/>
      <c r="FK378" s="152"/>
      <c r="FL378" s="201"/>
      <c r="FM378" s="201"/>
      <c r="FN378" s="201"/>
      <c r="FO378" s="201">
        <f>FP378</f>
        <v>0</v>
      </c>
      <c r="FP378" s="143">
        <v>0</v>
      </c>
      <c r="FQ378" s="201"/>
      <c r="FR378" s="201"/>
      <c r="FS378" s="201">
        <f t="shared" ref="FS378:FS383" si="794">FU378</f>
        <v>0</v>
      </c>
      <c r="FT378" s="192" t="e">
        <f t="shared" ref="FT378:FT383" si="795">FS378/FC378</f>
        <v>#DIV/0!</v>
      </c>
      <c r="FU378" s="201"/>
      <c r="FV378" s="192" t="e">
        <f t="shared" ref="FV378:FV383" si="796">FU378/FD378</f>
        <v>#DIV/0!</v>
      </c>
      <c r="FW378" s="192"/>
      <c r="FX378" s="192"/>
      <c r="FY378" s="201"/>
      <c r="FZ378" s="192"/>
      <c r="GA378" s="201"/>
      <c r="GB378" s="192"/>
      <c r="GC378" s="201"/>
      <c r="GD378" s="192"/>
      <c r="GE378" s="201"/>
      <c r="GF378" s="192"/>
      <c r="GG378" s="201"/>
      <c r="GH378" s="192"/>
      <c r="GI378" s="201">
        <f t="shared" si="789"/>
        <v>0</v>
      </c>
      <c r="GJ378" s="577" t="e">
        <f t="shared" si="786"/>
        <v>#DIV/0!</v>
      </c>
      <c r="GK378" s="201">
        <v>0</v>
      </c>
      <c r="GL378" s="516" t="e">
        <f t="shared" ref="GL378:GL383" si="797">GK378/FD378</f>
        <v>#DIV/0!</v>
      </c>
      <c r="GM378" s="201"/>
      <c r="GN378" s="192"/>
      <c r="GO378" s="201"/>
      <c r="GP378" s="577"/>
      <c r="GQ378" s="192"/>
      <c r="GR378" s="192"/>
      <c r="GS378" s="192"/>
      <c r="GT378" s="192"/>
      <c r="GU378" s="192">
        <f t="shared" si="790"/>
        <v>135552.56299999999</v>
      </c>
      <c r="GV378" s="143">
        <v>135552.56299999999</v>
      </c>
      <c r="GW378" s="192"/>
      <c r="GX378" s="192"/>
      <c r="GY378" s="192"/>
      <c r="GZ378" s="192"/>
      <c r="HA378" s="192"/>
      <c r="HB378" s="192"/>
      <c r="HC378" s="192"/>
      <c r="HD378" s="192"/>
      <c r="HE378" s="192"/>
      <c r="HF378" s="192"/>
      <c r="HG378" s="192">
        <f>HH378</f>
        <v>-135552.56299999999</v>
      </c>
      <c r="HH378" s="143">
        <f>HP378-GV378</f>
        <v>-135552.56299999999</v>
      </c>
      <c r="HI378" s="192"/>
      <c r="HJ378" s="192"/>
      <c r="HK378" s="153"/>
      <c r="HL378" s="192"/>
      <c r="HM378" s="192"/>
      <c r="HN378" s="192"/>
      <c r="HO378" s="192">
        <f t="shared" si="791"/>
        <v>0</v>
      </c>
      <c r="HP378" s="192">
        <v>0</v>
      </c>
      <c r="HQ378" s="192"/>
      <c r="HR378" s="192"/>
      <c r="HS378" s="153"/>
      <c r="HT378" s="192"/>
      <c r="HU378" s="192"/>
      <c r="HV378" s="192"/>
      <c r="HW378" s="153"/>
      <c r="HX378" s="192"/>
      <c r="HY378" s="192"/>
      <c r="HZ378" s="192"/>
      <c r="IA378" s="153"/>
      <c r="IB378" s="192"/>
      <c r="IC378" s="192"/>
      <c r="ID378" s="192"/>
      <c r="IE378" s="302"/>
      <c r="IF378" s="356"/>
      <c r="IG378" s="356"/>
      <c r="IH378" s="356"/>
    </row>
    <row r="379" spans="2:242" s="213" customFormat="1" ht="103.5" hidden="1" customHeight="1" x14ac:dyDescent="0.25">
      <c r="B379" s="350" t="s">
        <v>134</v>
      </c>
      <c r="C379" s="172" t="s">
        <v>442</v>
      </c>
      <c r="D379" s="179"/>
      <c r="E379" s="180"/>
      <c r="F379" s="180"/>
      <c r="G379" s="180"/>
      <c r="H379" s="180"/>
      <c r="I379" s="188"/>
      <c r="J379" s="188"/>
      <c r="K379" s="180"/>
      <c r="L379" s="180"/>
      <c r="M379" s="180"/>
      <c r="N379" s="180"/>
      <c r="O379" s="188"/>
      <c r="P379" s="188"/>
      <c r="Q379" s="181"/>
      <c r="R379" s="181"/>
      <c r="S379" s="181"/>
      <c r="T379" s="181"/>
      <c r="U379" s="181"/>
      <c r="V379" s="181"/>
      <c r="W379" s="181"/>
      <c r="X379" s="189"/>
      <c r="Y379" s="189"/>
      <c r="Z379" s="181"/>
      <c r="AA379" s="181"/>
      <c r="AB379" s="181"/>
      <c r="AC379" s="181"/>
      <c r="AD379" s="181"/>
      <c r="AE379" s="181"/>
      <c r="AF379" s="181"/>
      <c r="AG379" s="181"/>
      <c r="AH379" s="181"/>
      <c r="AI379" s="181"/>
      <c r="AJ379" s="181"/>
      <c r="AK379" s="181"/>
      <c r="AL379" s="181"/>
      <c r="AM379" s="181"/>
      <c r="AN379" s="181"/>
      <c r="AO379" s="181"/>
      <c r="AP379" s="181"/>
      <c r="AQ379" s="181"/>
      <c r="AR379" s="181"/>
      <c r="AS379" s="181"/>
      <c r="AT379" s="181"/>
      <c r="AU379" s="181"/>
      <c r="AV379" s="181"/>
      <c r="AW379" s="189"/>
      <c r="AX379" s="189"/>
      <c r="AY379" s="181"/>
      <c r="AZ379" s="181"/>
      <c r="BA379" s="181"/>
      <c r="BB379" s="181"/>
      <c r="BC379" s="181"/>
      <c r="BD379" s="181"/>
      <c r="BE379" s="181"/>
      <c r="BF379" s="189"/>
      <c r="BG379" s="189"/>
      <c r="BH379" s="181"/>
      <c r="BI379" s="181"/>
      <c r="BJ379" s="181"/>
      <c r="BK379" s="181"/>
      <c r="BL379" s="181"/>
      <c r="BM379" s="181"/>
      <c r="BN379" s="181"/>
      <c r="BO379" s="181"/>
      <c r="BP379" s="181"/>
      <c r="BQ379" s="181"/>
      <c r="BR379" s="181"/>
      <c r="BS379" s="181"/>
      <c r="BT379" s="181"/>
      <c r="BU379" s="181"/>
      <c r="BV379" s="181"/>
      <c r="BW379" s="181"/>
      <c r="BX379" s="181"/>
      <c r="BY379" s="181"/>
      <c r="BZ379" s="189"/>
      <c r="CA379" s="189"/>
      <c r="CB379" s="105"/>
      <c r="CC379" s="181"/>
      <c r="CD379" s="181"/>
      <c r="CE379" s="181"/>
      <c r="CF379" s="181"/>
      <c r="CG379" s="181"/>
      <c r="CH379" s="181"/>
      <c r="CI379" s="181"/>
      <c r="CJ379" s="181"/>
      <c r="CK379" s="181"/>
      <c r="CL379" s="189"/>
      <c r="CM379" s="189"/>
      <c r="CN379" s="189"/>
      <c r="CO379" s="189"/>
      <c r="CP379" s="189"/>
      <c r="CQ379" s="181"/>
      <c r="CR379" s="181"/>
      <c r="CS379" s="181"/>
      <c r="CT379" s="181"/>
      <c r="CU379" s="181"/>
      <c r="CV379" s="181"/>
      <c r="CW379" s="181"/>
      <c r="CX379" s="181"/>
      <c r="CY379" s="181"/>
      <c r="CZ379" s="181"/>
      <c r="DA379" s="181"/>
      <c r="DB379" s="181"/>
      <c r="DC379" s="181"/>
      <c r="DD379" s="181"/>
      <c r="DE379" s="181"/>
      <c r="DF379" s="181"/>
      <c r="DG379" s="181"/>
      <c r="DH379" s="181"/>
      <c r="DI379" s="181"/>
      <c r="DJ379" s="181"/>
      <c r="DK379" s="181"/>
      <c r="DL379" s="181"/>
      <c r="DM379" s="181"/>
      <c r="DN379" s="181"/>
      <c r="DO379" s="181"/>
      <c r="DP379" s="181"/>
      <c r="DQ379" s="181"/>
      <c r="DR379" s="181"/>
      <c r="DS379" s="181"/>
      <c r="DT379" s="181"/>
      <c r="DU379" s="181"/>
      <c r="DV379" s="181"/>
      <c r="DW379" s="181"/>
      <c r="DX379" s="181"/>
      <c r="DY379" s="181"/>
      <c r="DZ379" s="181"/>
      <c r="EA379" s="181"/>
      <c r="EB379" s="181"/>
      <c r="EC379" s="181"/>
      <c r="ED379" s="181"/>
      <c r="EE379" s="181"/>
      <c r="EF379" s="181"/>
      <c r="EG379" s="144">
        <f>EH379</f>
        <v>0</v>
      </c>
      <c r="EH379" s="164">
        <v>0</v>
      </c>
      <c r="EI379" s="181"/>
      <c r="EJ379" s="181"/>
      <c r="EK379" s="105">
        <f>EL379</f>
        <v>0</v>
      </c>
      <c r="EL379" s="181">
        <f>ET379-EH379</f>
        <v>0</v>
      </c>
      <c r="EM379" s="181"/>
      <c r="EN379" s="181"/>
      <c r="EO379" s="105"/>
      <c r="EP379" s="181"/>
      <c r="EQ379" s="181"/>
      <c r="ER379" s="181"/>
      <c r="ES379" s="144">
        <f>ET379</f>
        <v>0</v>
      </c>
      <c r="ET379" s="181">
        <f>SUM(ET380:ET384)</f>
        <v>0</v>
      </c>
      <c r="EU379" s="181"/>
      <c r="EV379" s="181"/>
      <c r="EW379" s="181"/>
      <c r="EX379" s="181"/>
      <c r="EY379" s="181"/>
      <c r="EZ379" s="181"/>
      <c r="FA379" s="181"/>
      <c r="FB379" s="181"/>
      <c r="FC379" s="163">
        <f t="shared" si="792"/>
        <v>9553.9398500000007</v>
      </c>
      <c r="FD379" s="163">
        <v>9553.9398500000007</v>
      </c>
      <c r="FE379" s="180"/>
      <c r="FF379" s="180"/>
      <c r="FG379" s="180">
        <f t="shared" si="788"/>
        <v>0</v>
      </c>
      <c r="FH379" s="163">
        <f t="shared" si="793"/>
        <v>0</v>
      </c>
      <c r="FI379" s="180"/>
      <c r="FJ379" s="180"/>
      <c r="FK379" s="103"/>
      <c r="FL379" s="180"/>
      <c r="FM379" s="180"/>
      <c r="FN379" s="180"/>
      <c r="FO379" s="180">
        <f>FP379</f>
        <v>9553.9398500000007</v>
      </c>
      <c r="FP379" s="163">
        <f>8793.93985+760</f>
        <v>9553.9398500000007</v>
      </c>
      <c r="FQ379" s="180"/>
      <c r="FR379" s="180"/>
      <c r="FS379" s="163">
        <f t="shared" si="794"/>
        <v>12001.54895</v>
      </c>
      <c r="FT379" s="577">
        <f t="shared" si="795"/>
        <v>1.2561884561163528</v>
      </c>
      <c r="FU379" s="163">
        <f>[10]Лист1!$N$744</f>
        <v>12001.54895</v>
      </c>
      <c r="FV379" s="577">
        <f t="shared" si="796"/>
        <v>1.2561884561163528</v>
      </c>
      <c r="FW379" s="192"/>
      <c r="FX379" s="181"/>
      <c r="FY379" s="163"/>
      <c r="FZ379" s="577"/>
      <c r="GA379" s="163">
        <f>GC379</f>
        <v>8793.9398500000007</v>
      </c>
      <c r="GB379" s="577">
        <f>GA379/FC379</f>
        <v>0.92045166581198434</v>
      </c>
      <c r="GC379" s="163">
        <v>8793.9398500000007</v>
      </c>
      <c r="GD379" s="577">
        <f>GC379/FD379</f>
        <v>0.92045166581198434</v>
      </c>
      <c r="GE379" s="201"/>
      <c r="GF379" s="181"/>
      <c r="GG379" s="163"/>
      <c r="GH379" s="181"/>
      <c r="GI379" s="163">
        <f t="shared" si="789"/>
        <v>9391.9398500000007</v>
      </c>
      <c r="GJ379" s="575">
        <f t="shared" si="786"/>
        <v>0.98304364455465987</v>
      </c>
      <c r="GK379" s="163">
        <f>[10]Лист1!$I$745+598</f>
        <v>9391.9398500000007</v>
      </c>
      <c r="GL379" s="516">
        <f t="shared" si="797"/>
        <v>0.98304364455465987</v>
      </c>
      <c r="GM379" s="201"/>
      <c r="GN379" s="181"/>
      <c r="GO379" s="201"/>
      <c r="GP379" s="577"/>
      <c r="GQ379" s="181"/>
      <c r="GR379" s="181"/>
      <c r="GS379" s="181"/>
      <c r="GT379" s="181"/>
      <c r="GU379" s="181">
        <f t="shared" si="790"/>
        <v>0</v>
      </c>
      <c r="GV379" s="164">
        <v>0</v>
      </c>
      <c r="GW379" s="181"/>
      <c r="GX379" s="181"/>
      <c r="GY379" s="181"/>
      <c r="GZ379" s="181"/>
      <c r="HA379" s="181"/>
      <c r="HB379" s="181"/>
      <c r="HC379" s="181"/>
      <c r="HD379" s="181"/>
      <c r="HE379" s="181"/>
      <c r="HF379" s="181"/>
      <c r="HG379" s="181">
        <f>HP379</f>
        <v>135552.56299999999</v>
      </c>
      <c r="HH379" s="164">
        <f>HP379-GV379</f>
        <v>135552.56299999999</v>
      </c>
      <c r="HI379" s="181"/>
      <c r="HJ379" s="181"/>
      <c r="HK379" s="181" t="e">
        <f>HL379</f>
        <v>#REF!</v>
      </c>
      <c r="HL379" s="181" t="e">
        <f>#REF!-GV379</f>
        <v>#REF!</v>
      </c>
      <c r="HM379" s="181"/>
      <c r="HN379" s="181"/>
      <c r="HO379" s="181">
        <f>HP379</f>
        <v>135552.56299999999</v>
      </c>
      <c r="HP379" s="143">
        <v>135552.56299999999</v>
      </c>
      <c r="HQ379" s="181"/>
      <c r="HR379" s="181"/>
      <c r="HS379" s="181">
        <f>HT379</f>
        <v>0</v>
      </c>
      <c r="HT379" s="164">
        <v>0</v>
      </c>
      <c r="HU379" s="181"/>
      <c r="HV379" s="181"/>
      <c r="HW379" s="181">
        <f>IB379</f>
        <v>0</v>
      </c>
      <c r="HX379" s="164">
        <f>IB379-HT379</f>
        <v>0</v>
      </c>
      <c r="HY379" s="181"/>
      <c r="HZ379" s="181"/>
      <c r="IA379" s="181">
        <f>IB379</f>
        <v>0</v>
      </c>
      <c r="IB379" s="164">
        <v>0</v>
      </c>
      <c r="IC379" s="181"/>
      <c r="ID379" s="181"/>
      <c r="IE379" s="319" t="s">
        <v>443</v>
      </c>
      <c r="IF379" s="183"/>
      <c r="IG379" s="183"/>
      <c r="IH379" s="183"/>
    </row>
    <row r="380" spans="2:242" s="213" customFormat="1" ht="114.75" hidden="1" customHeight="1" x14ac:dyDescent="0.25">
      <c r="B380" s="350" t="s">
        <v>221</v>
      </c>
      <c r="C380" s="172" t="s">
        <v>444</v>
      </c>
      <c r="D380" s="179"/>
      <c r="E380" s="180"/>
      <c r="F380" s="180"/>
      <c r="G380" s="180"/>
      <c r="H380" s="180"/>
      <c r="I380" s="188"/>
      <c r="J380" s="188"/>
      <c r="K380" s="180"/>
      <c r="L380" s="180"/>
      <c r="M380" s="180"/>
      <c r="N380" s="180"/>
      <c r="O380" s="188"/>
      <c r="P380" s="188"/>
      <c r="Q380" s="181"/>
      <c r="R380" s="181"/>
      <c r="S380" s="181"/>
      <c r="T380" s="181"/>
      <c r="U380" s="181"/>
      <c r="V380" s="181"/>
      <c r="W380" s="181"/>
      <c r="X380" s="189"/>
      <c r="Y380" s="189"/>
      <c r="Z380" s="181"/>
      <c r="AA380" s="181"/>
      <c r="AB380" s="181"/>
      <c r="AC380" s="181"/>
      <c r="AD380" s="181"/>
      <c r="AE380" s="181"/>
      <c r="AF380" s="181"/>
      <c r="AG380" s="181"/>
      <c r="AH380" s="181"/>
      <c r="AI380" s="181"/>
      <c r="AJ380" s="181"/>
      <c r="AK380" s="181"/>
      <c r="AL380" s="181"/>
      <c r="AM380" s="181"/>
      <c r="AN380" s="181"/>
      <c r="AO380" s="181"/>
      <c r="AP380" s="181"/>
      <c r="AQ380" s="181"/>
      <c r="AR380" s="181"/>
      <c r="AS380" s="181"/>
      <c r="AT380" s="181"/>
      <c r="AU380" s="181"/>
      <c r="AV380" s="181"/>
      <c r="AW380" s="189"/>
      <c r="AX380" s="189"/>
      <c r="AY380" s="181"/>
      <c r="AZ380" s="181"/>
      <c r="BA380" s="181"/>
      <c r="BB380" s="181"/>
      <c r="BC380" s="181"/>
      <c r="BD380" s="181"/>
      <c r="BE380" s="181"/>
      <c r="BF380" s="189"/>
      <c r="BG380" s="189"/>
      <c r="BH380" s="181"/>
      <c r="BI380" s="181"/>
      <c r="BJ380" s="181"/>
      <c r="BK380" s="181"/>
      <c r="BL380" s="181"/>
      <c r="BM380" s="181"/>
      <c r="BN380" s="181"/>
      <c r="BO380" s="181"/>
      <c r="BP380" s="181"/>
      <c r="BQ380" s="181"/>
      <c r="BR380" s="181"/>
      <c r="BS380" s="181"/>
      <c r="BT380" s="181"/>
      <c r="BU380" s="181"/>
      <c r="BV380" s="181"/>
      <c r="BW380" s="181"/>
      <c r="BX380" s="181"/>
      <c r="BY380" s="181"/>
      <c r="BZ380" s="189"/>
      <c r="CA380" s="189"/>
      <c r="CB380" s="105"/>
      <c r="CC380" s="181"/>
      <c r="CD380" s="181"/>
      <c r="CE380" s="181"/>
      <c r="CF380" s="181"/>
      <c r="CG380" s="181"/>
      <c r="CH380" s="181"/>
      <c r="CI380" s="181"/>
      <c r="CJ380" s="181"/>
      <c r="CK380" s="181"/>
      <c r="CL380" s="189"/>
      <c r="CM380" s="189"/>
      <c r="CN380" s="189"/>
      <c r="CO380" s="189"/>
      <c r="CP380" s="189"/>
      <c r="CQ380" s="181"/>
      <c r="CR380" s="181"/>
      <c r="CS380" s="181"/>
      <c r="CT380" s="181"/>
      <c r="CU380" s="181"/>
      <c r="CV380" s="181"/>
      <c r="CW380" s="181"/>
      <c r="CX380" s="181"/>
      <c r="CY380" s="181"/>
      <c r="CZ380" s="181"/>
      <c r="DA380" s="181"/>
      <c r="DB380" s="181"/>
      <c r="DC380" s="181"/>
      <c r="DD380" s="181"/>
      <c r="DE380" s="181"/>
      <c r="DF380" s="181"/>
      <c r="DG380" s="181"/>
      <c r="DH380" s="181"/>
      <c r="DI380" s="181"/>
      <c r="DJ380" s="181"/>
      <c r="DK380" s="181"/>
      <c r="DL380" s="181"/>
      <c r="DM380" s="181"/>
      <c r="DN380" s="181"/>
      <c r="DO380" s="181"/>
      <c r="DP380" s="181"/>
      <c r="DQ380" s="181"/>
      <c r="DR380" s="181"/>
      <c r="DS380" s="181"/>
      <c r="DT380" s="181"/>
      <c r="DU380" s="181"/>
      <c r="DV380" s="181"/>
      <c r="DW380" s="181"/>
      <c r="DX380" s="181"/>
      <c r="DY380" s="181"/>
      <c r="DZ380" s="181"/>
      <c r="EA380" s="181"/>
      <c r="EB380" s="181"/>
      <c r="EC380" s="181"/>
      <c r="ED380" s="181"/>
      <c r="EE380" s="181"/>
      <c r="EF380" s="181"/>
      <c r="EG380" s="144">
        <f>EH380</f>
        <v>0</v>
      </c>
      <c r="EH380" s="164">
        <v>0</v>
      </c>
      <c r="EI380" s="181"/>
      <c r="EJ380" s="181"/>
      <c r="EK380" s="105">
        <f>EL380</f>
        <v>0</v>
      </c>
      <c r="EL380" s="181">
        <f>ET380-EH380</f>
        <v>0</v>
      </c>
      <c r="EM380" s="181"/>
      <c r="EN380" s="181"/>
      <c r="EO380" s="105"/>
      <c r="EP380" s="181"/>
      <c r="EQ380" s="181"/>
      <c r="ER380" s="181"/>
      <c r="ES380" s="144">
        <f>ET380</f>
        <v>0</v>
      </c>
      <c r="ET380" s="181">
        <f>SUM(ET381:ET385)</f>
        <v>0</v>
      </c>
      <c r="EU380" s="181"/>
      <c r="EV380" s="181"/>
      <c r="EW380" s="181"/>
      <c r="EX380" s="181"/>
      <c r="EY380" s="181"/>
      <c r="EZ380" s="181"/>
      <c r="FA380" s="181"/>
      <c r="FB380" s="181"/>
      <c r="FC380" s="143">
        <f t="shared" si="792"/>
        <v>7160</v>
      </c>
      <c r="FD380" s="143">
        <v>7160</v>
      </c>
      <c r="FE380" s="180"/>
      <c r="FF380" s="180"/>
      <c r="FG380" s="180">
        <f t="shared" si="788"/>
        <v>2694.482759999999</v>
      </c>
      <c r="FH380" s="163">
        <f t="shared" si="793"/>
        <v>2694.482759999999</v>
      </c>
      <c r="FI380" s="180"/>
      <c r="FJ380" s="180"/>
      <c r="FK380" s="103"/>
      <c r="FL380" s="180"/>
      <c r="FM380" s="180"/>
      <c r="FN380" s="180"/>
      <c r="FO380" s="180">
        <f>FP380+FQ380+FR380</f>
        <v>9854.482759999999</v>
      </c>
      <c r="FP380" s="163">
        <f>FD380+2194.48276+500</f>
        <v>9854.482759999999</v>
      </c>
      <c r="FQ380" s="180"/>
      <c r="FR380" s="180"/>
      <c r="FS380" s="163">
        <f t="shared" si="794"/>
        <v>0</v>
      </c>
      <c r="FT380" s="181">
        <f t="shared" si="795"/>
        <v>0</v>
      </c>
      <c r="FU380" s="163"/>
      <c r="FV380" s="181">
        <f t="shared" si="796"/>
        <v>0</v>
      </c>
      <c r="FW380" s="192"/>
      <c r="FX380" s="181"/>
      <c r="FY380" s="163"/>
      <c r="FZ380" s="181"/>
      <c r="GA380" s="163">
        <f t="shared" ref="GA380:GA383" si="798">GC380</f>
        <v>0</v>
      </c>
      <c r="GB380" s="181"/>
      <c r="GC380" s="163"/>
      <c r="GD380" s="181"/>
      <c r="GE380" s="201"/>
      <c r="GF380" s="181"/>
      <c r="GG380" s="163"/>
      <c r="GH380" s="181"/>
      <c r="GI380" s="163">
        <f t="shared" si="789"/>
        <v>5160</v>
      </c>
      <c r="GJ380" s="575">
        <f t="shared" si="786"/>
        <v>0.72067039106145248</v>
      </c>
      <c r="GK380" s="163">
        <f>[10]Лист1!$I$748</f>
        <v>5160</v>
      </c>
      <c r="GL380" s="516">
        <f t="shared" si="797"/>
        <v>0.72067039106145248</v>
      </c>
      <c r="GM380" s="201"/>
      <c r="GN380" s="181"/>
      <c r="GO380" s="201"/>
      <c r="GP380" s="577"/>
      <c r="GQ380" s="181"/>
      <c r="GR380" s="181"/>
      <c r="GS380" s="181"/>
      <c r="GT380" s="181"/>
      <c r="GU380" s="181">
        <f t="shared" si="790"/>
        <v>0</v>
      </c>
      <c r="GV380" s="181">
        <v>0</v>
      </c>
      <c r="GW380" s="181"/>
      <c r="GX380" s="181"/>
      <c r="GY380" s="181"/>
      <c r="GZ380" s="181"/>
      <c r="HA380" s="181"/>
      <c r="HB380" s="181"/>
      <c r="HC380" s="181"/>
      <c r="HD380" s="181"/>
      <c r="HE380" s="181"/>
      <c r="HF380" s="181"/>
      <c r="HG380" s="181"/>
      <c r="HH380" s="181"/>
      <c r="HI380" s="181"/>
      <c r="HJ380" s="181"/>
      <c r="HK380" s="181">
        <f>HL380</f>
        <v>0</v>
      </c>
      <c r="HL380" s="181">
        <f>HP380-GV380</f>
        <v>0</v>
      </c>
      <c r="HM380" s="181"/>
      <c r="HN380" s="181"/>
      <c r="HO380" s="181">
        <f t="shared" si="791"/>
        <v>0</v>
      </c>
      <c r="HP380" s="181">
        <v>0</v>
      </c>
      <c r="HQ380" s="181"/>
      <c r="HR380" s="181"/>
      <c r="HS380" s="181">
        <f>HT380</f>
        <v>0</v>
      </c>
      <c r="HT380" s="181">
        <v>0</v>
      </c>
      <c r="HU380" s="181"/>
      <c r="HV380" s="181"/>
      <c r="HW380" s="181">
        <f>HX380</f>
        <v>0</v>
      </c>
      <c r="HX380" s="181">
        <f>IB380-HT380</f>
        <v>0</v>
      </c>
      <c r="HY380" s="181"/>
      <c r="HZ380" s="181"/>
      <c r="IA380" s="181">
        <f>IB380</f>
        <v>0</v>
      </c>
      <c r="IB380" s="181">
        <f>HT380</f>
        <v>0</v>
      </c>
      <c r="IC380" s="181"/>
      <c r="ID380" s="181"/>
      <c r="IE380" s="319" t="s">
        <v>445</v>
      </c>
      <c r="IF380" s="183"/>
      <c r="IG380" s="183"/>
      <c r="IH380" s="183"/>
    </row>
    <row r="381" spans="2:242" s="213" customFormat="1" ht="103.5" hidden="1" customHeight="1" x14ac:dyDescent="0.25">
      <c r="B381" s="350" t="s">
        <v>78</v>
      </c>
      <c r="C381" s="172" t="s">
        <v>446</v>
      </c>
      <c r="D381" s="179"/>
      <c r="E381" s="180"/>
      <c r="F381" s="180"/>
      <c r="G381" s="180"/>
      <c r="H381" s="180"/>
      <c r="I381" s="188"/>
      <c r="J381" s="188"/>
      <c r="K381" s="180"/>
      <c r="L381" s="180"/>
      <c r="M381" s="180"/>
      <c r="N381" s="180"/>
      <c r="O381" s="188"/>
      <c r="P381" s="188"/>
      <c r="Q381" s="181"/>
      <c r="R381" s="181"/>
      <c r="S381" s="181"/>
      <c r="T381" s="181"/>
      <c r="U381" s="181"/>
      <c r="V381" s="181"/>
      <c r="W381" s="181"/>
      <c r="X381" s="189"/>
      <c r="Y381" s="189"/>
      <c r="Z381" s="181"/>
      <c r="AA381" s="181"/>
      <c r="AB381" s="181"/>
      <c r="AC381" s="181"/>
      <c r="AD381" s="181"/>
      <c r="AE381" s="181"/>
      <c r="AF381" s="181"/>
      <c r="AG381" s="181"/>
      <c r="AH381" s="181"/>
      <c r="AI381" s="181"/>
      <c r="AJ381" s="181"/>
      <c r="AK381" s="181"/>
      <c r="AL381" s="181"/>
      <c r="AM381" s="181"/>
      <c r="AN381" s="181"/>
      <c r="AO381" s="181"/>
      <c r="AP381" s="181"/>
      <c r="AQ381" s="181"/>
      <c r="AR381" s="181"/>
      <c r="AS381" s="181"/>
      <c r="AT381" s="181"/>
      <c r="AU381" s="181"/>
      <c r="AV381" s="181"/>
      <c r="AW381" s="189"/>
      <c r="AX381" s="189"/>
      <c r="AY381" s="181"/>
      <c r="AZ381" s="181"/>
      <c r="BA381" s="181"/>
      <c r="BB381" s="181"/>
      <c r="BC381" s="181"/>
      <c r="BD381" s="181"/>
      <c r="BE381" s="181"/>
      <c r="BF381" s="189"/>
      <c r="BG381" s="189"/>
      <c r="BH381" s="181"/>
      <c r="BI381" s="181"/>
      <c r="BJ381" s="181"/>
      <c r="BK381" s="181"/>
      <c r="BL381" s="181"/>
      <c r="BM381" s="181"/>
      <c r="BN381" s="181"/>
      <c r="BO381" s="181"/>
      <c r="BP381" s="181"/>
      <c r="BQ381" s="181"/>
      <c r="BR381" s="181"/>
      <c r="BS381" s="181"/>
      <c r="BT381" s="181"/>
      <c r="BU381" s="181"/>
      <c r="BV381" s="181"/>
      <c r="BW381" s="181"/>
      <c r="BX381" s="181"/>
      <c r="BY381" s="181"/>
      <c r="BZ381" s="189"/>
      <c r="CA381" s="189"/>
      <c r="CB381" s="105"/>
      <c r="CC381" s="181"/>
      <c r="CD381" s="181"/>
      <c r="CE381" s="181"/>
      <c r="CF381" s="181"/>
      <c r="CG381" s="181"/>
      <c r="CH381" s="181"/>
      <c r="CI381" s="181"/>
      <c r="CJ381" s="181"/>
      <c r="CK381" s="181"/>
      <c r="CL381" s="189"/>
      <c r="CM381" s="189"/>
      <c r="CN381" s="189"/>
      <c r="CO381" s="189"/>
      <c r="CP381" s="189"/>
      <c r="CQ381" s="181"/>
      <c r="CR381" s="181"/>
      <c r="CS381" s="181"/>
      <c r="CT381" s="181"/>
      <c r="CU381" s="181"/>
      <c r="CV381" s="181"/>
      <c r="CW381" s="181"/>
      <c r="CX381" s="181"/>
      <c r="CY381" s="181"/>
      <c r="CZ381" s="181"/>
      <c r="DA381" s="181"/>
      <c r="DB381" s="181"/>
      <c r="DC381" s="181"/>
      <c r="DD381" s="181"/>
      <c r="DE381" s="181"/>
      <c r="DF381" s="181"/>
      <c r="DG381" s="181"/>
      <c r="DH381" s="181"/>
      <c r="DI381" s="181"/>
      <c r="DJ381" s="181"/>
      <c r="DK381" s="181"/>
      <c r="DL381" s="181"/>
      <c r="DM381" s="181"/>
      <c r="DN381" s="181"/>
      <c r="DO381" s="181"/>
      <c r="DP381" s="181"/>
      <c r="DQ381" s="181"/>
      <c r="DR381" s="181"/>
      <c r="DS381" s="181"/>
      <c r="DT381" s="181"/>
      <c r="DU381" s="181"/>
      <c r="DV381" s="181"/>
      <c r="DW381" s="181"/>
      <c r="DX381" s="181"/>
      <c r="DY381" s="181"/>
      <c r="DZ381" s="181"/>
      <c r="EA381" s="181"/>
      <c r="EB381" s="181"/>
      <c r="EC381" s="181"/>
      <c r="ED381" s="181"/>
      <c r="EE381" s="181"/>
      <c r="EF381" s="181"/>
      <c r="EG381" s="144">
        <f>EH381</f>
        <v>0</v>
      </c>
      <c r="EH381" s="164">
        <v>0</v>
      </c>
      <c r="EI381" s="181"/>
      <c r="EJ381" s="181"/>
      <c r="EK381" s="105">
        <f>EL381</f>
        <v>0</v>
      </c>
      <c r="EL381" s="181">
        <f>ET381-EH381</f>
        <v>0</v>
      </c>
      <c r="EM381" s="181"/>
      <c r="EN381" s="181"/>
      <c r="EO381" s="105"/>
      <c r="EP381" s="181"/>
      <c r="EQ381" s="181"/>
      <c r="ER381" s="181"/>
      <c r="ES381" s="144">
        <f>ET381</f>
        <v>0</v>
      </c>
      <c r="ET381" s="181">
        <f>SUM(ET382:ET386)</f>
        <v>0</v>
      </c>
      <c r="EU381" s="181"/>
      <c r="EV381" s="181"/>
      <c r="EW381" s="181"/>
      <c r="EX381" s="181"/>
      <c r="EY381" s="181"/>
      <c r="EZ381" s="181"/>
      <c r="FA381" s="181"/>
      <c r="FB381" s="181"/>
      <c r="FC381" s="163">
        <f t="shared" si="792"/>
        <v>6899.51</v>
      </c>
      <c r="FD381" s="163">
        <v>6899.51</v>
      </c>
      <c r="FE381" s="180"/>
      <c r="FF381" s="180"/>
      <c r="FG381" s="180">
        <f t="shared" si="788"/>
        <v>0</v>
      </c>
      <c r="FH381" s="163">
        <f t="shared" si="793"/>
        <v>0</v>
      </c>
      <c r="FI381" s="180"/>
      <c r="FJ381" s="180"/>
      <c r="FK381" s="103"/>
      <c r="FL381" s="180"/>
      <c r="FM381" s="180"/>
      <c r="FN381" s="180"/>
      <c r="FO381" s="180">
        <f>FP381</f>
        <v>6899.51</v>
      </c>
      <c r="FP381" s="163">
        <v>6899.51</v>
      </c>
      <c r="FQ381" s="180"/>
      <c r="FR381" s="180"/>
      <c r="FS381" s="163">
        <f t="shared" si="794"/>
        <v>0</v>
      </c>
      <c r="FT381" s="181">
        <f t="shared" si="795"/>
        <v>0</v>
      </c>
      <c r="FU381" s="163"/>
      <c r="FV381" s="181">
        <f t="shared" si="796"/>
        <v>0</v>
      </c>
      <c r="FW381" s="192"/>
      <c r="FX381" s="181"/>
      <c r="FY381" s="163"/>
      <c r="FZ381" s="181"/>
      <c r="GA381" s="163">
        <f t="shared" si="798"/>
        <v>0</v>
      </c>
      <c r="GB381" s="181"/>
      <c r="GC381" s="163"/>
      <c r="GD381" s="181"/>
      <c r="GE381" s="201"/>
      <c r="GF381" s="181"/>
      <c r="GG381" s="163"/>
      <c r="GH381" s="181"/>
      <c r="GI381" s="163">
        <f t="shared" si="789"/>
        <v>4899.51</v>
      </c>
      <c r="GJ381" s="575">
        <f t="shared" si="786"/>
        <v>0.71012434216342901</v>
      </c>
      <c r="GK381" s="163">
        <f>[10]Лист1!$I$749</f>
        <v>4899.51</v>
      </c>
      <c r="GL381" s="516">
        <f t="shared" si="797"/>
        <v>0.71012434216342901</v>
      </c>
      <c r="GM381" s="201"/>
      <c r="GN381" s="181"/>
      <c r="GO381" s="201"/>
      <c r="GP381" s="577"/>
      <c r="GQ381" s="181"/>
      <c r="GR381" s="181"/>
      <c r="GS381" s="181"/>
      <c r="GT381" s="181"/>
      <c r="GU381" s="181">
        <f t="shared" si="790"/>
        <v>0</v>
      </c>
      <c r="GV381" s="181">
        <v>0</v>
      </c>
      <c r="GW381" s="181"/>
      <c r="GX381" s="181"/>
      <c r="GY381" s="181"/>
      <c r="GZ381" s="181"/>
      <c r="HA381" s="181"/>
      <c r="HB381" s="181"/>
      <c r="HC381" s="181"/>
      <c r="HD381" s="181"/>
      <c r="HE381" s="181"/>
      <c r="HF381" s="181"/>
      <c r="HG381" s="181"/>
      <c r="HH381" s="181"/>
      <c r="HI381" s="181"/>
      <c r="HJ381" s="181"/>
      <c r="HK381" s="181">
        <f>HL381</f>
        <v>0</v>
      </c>
      <c r="HL381" s="181">
        <f>HP381-GV381</f>
        <v>0</v>
      </c>
      <c r="HM381" s="181"/>
      <c r="HN381" s="181"/>
      <c r="HO381" s="181">
        <f t="shared" si="791"/>
        <v>0</v>
      </c>
      <c r="HP381" s="181">
        <v>0</v>
      </c>
      <c r="HQ381" s="181"/>
      <c r="HR381" s="181"/>
      <c r="HS381" s="181">
        <f>HT381</f>
        <v>0</v>
      </c>
      <c r="HT381" s="181">
        <v>0</v>
      </c>
      <c r="HU381" s="181"/>
      <c r="HV381" s="181"/>
      <c r="HW381" s="181">
        <f>HX381</f>
        <v>0</v>
      </c>
      <c r="HX381" s="181">
        <f>IB381-HT381</f>
        <v>0</v>
      </c>
      <c r="HY381" s="181"/>
      <c r="HZ381" s="181"/>
      <c r="IA381" s="181">
        <f>IB381</f>
        <v>0</v>
      </c>
      <c r="IB381" s="181">
        <f>HT381</f>
        <v>0</v>
      </c>
      <c r="IC381" s="181"/>
      <c r="ID381" s="181"/>
      <c r="IE381" s="319" t="s">
        <v>443</v>
      </c>
      <c r="IF381" s="183"/>
      <c r="IG381" s="183"/>
      <c r="IH381" s="183"/>
    </row>
    <row r="382" spans="2:242" s="213" customFormat="1" ht="105.75" hidden="1" customHeight="1" x14ac:dyDescent="0.25">
      <c r="B382" s="350" t="s">
        <v>79</v>
      </c>
      <c r="C382" s="172" t="s">
        <v>447</v>
      </c>
      <c r="D382" s="179"/>
      <c r="E382" s="180"/>
      <c r="F382" s="180"/>
      <c r="G382" s="180"/>
      <c r="H382" s="180"/>
      <c r="I382" s="188"/>
      <c r="J382" s="188"/>
      <c r="K382" s="180"/>
      <c r="L382" s="180"/>
      <c r="M382" s="180"/>
      <c r="N382" s="180"/>
      <c r="O382" s="188"/>
      <c r="P382" s="188"/>
      <c r="Q382" s="181"/>
      <c r="R382" s="181"/>
      <c r="S382" s="181"/>
      <c r="T382" s="181"/>
      <c r="U382" s="181"/>
      <c r="V382" s="181"/>
      <c r="W382" s="181"/>
      <c r="X382" s="189"/>
      <c r="Y382" s="189"/>
      <c r="Z382" s="181"/>
      <c r="AA382" s="181"/>
      <c r="AB382" s="181"/>
      <c r="AC382" s="181"/>
      <c r="AD382" s="181"/>
      <c r="AE382" s="181"/>
      <c r="AF382" s="181"/>
      <c r="AG382" s="181"/>
      <c r="AH382" s="181"/>
      <c r="AI382" s="181"/>
      <c r="AJ382" s="181"/>
      <c r="AK382" s="181"/>
      <c r="AL382" s="181"/>
      <c r="AM382" s="181"/>
      <c r="AN382" s="181"/>
      <c r="AO382" s="181"/>
      <c r="AP382" s="181"/>
      <c r="AQ382" s="181"/>
      <c r="AR382" s="181"/>
      <c r="AS382" s="181"/>
      <c r="AT382" s="181"/>
      <c r="AU382" s="181"/>
      <c r="AV382" s="181"/>
      <c r="AW382" s="189"/>
      <c r="AX382" s="189"/>
      <c r="AY382" s="181"/>
      <c r="AZ382" s="181"/>
      <c r="BA382" s="181"/>
      <c r="BB382" s="181"/>
      <c r="BC382" s="181"/>
      <c r="BD382" s="181"/>
      <c r="BE382" s="181"/>
      <c r="BF382" s="189"/>
      <c r="BG382" s="189"/>
      <c r="BH382" s="181"/>
      <c r="BI382" s="181"/>
      <c r="BJ382" s="181"/>
      <c r="BK382" s="181"/>
      <c r="BL382" s="181"/>
      <c r="BM382" s="181"/>
      <c r="BN382" s="181"/>
      <c r="BO382" s="181"/>
      <c r="BP382" s="181"/>
      <c r="BQ382" s="181"/>
      <c r="BR382" s="181"/>
      <c r="BS382" s="181"/>
      <c r="BT382" s="181"/>
      <c r="BU382" s="181"/>
      <c r="BV382" s="181"/>
      <c r="BW382" s="181"/>
      <c r="BX382" s="181"/>
      <c r="BY382" s="181"/>
      <c r="BZ382" s="189"/>
      <c r="CA382" s="189"/>
      <c r="CB382" s="105"/>
      <c r="CC382" s="181"/>
      <c r="CD382" s="181"/>
      <c r="CE382" s="181"/>
      <c r="CF382" s="181"/>
      <c r="CG382" s="181"/>
      <c r="CH382" s="181"/>
      <c r="CI382" s="181"/>
      <c r="CJ382" s="181"/>
      <c r="CK382" s="181"/>
      <c r="CL382" s="189"/>
      <c r="CM382" s="189"/>
      <c r="CN382" s="189"/>
      <c r="CO382" s="189"/>
      <c r="CP382" s="189"/>
      <c r="CQ382" s="181"/>
      <c r="CR382" s="181"/>
      <c r="CS382" s="181"/>
      <c r="CT382" s="181"/>
      <c r="CU382" s="181"/>
      <c r="CV382" s="181"/>
      <c r="CW382" s="181"/>
      <c r="CX382" s="181"/>
      <c r="CY382" s="181"/>
      <c r="CZ382" s="181"/>
      <c r="DA382" s="181"/>
      <c r="DB382" s="181"/>
      <c r="DC382" s="181"/>
      <c r="DD382" s="181"/>
      <c r="DE382" s="181"/>
      <c r="DF382" s="181"/>
      <c r="DG382" s="181"/>
      <c r="DH382" s="181"/>
      <c r="DI382" s="181"/>
      <c r="DJ382" s="181"/>
      <c r="DK382" s="181"/>
      <c r="DL382" s="181"/>
      <c r="DM382" s="181"/>
      <c r="DN382" s="181"/>
      <c r="DO382" s="181"/>
      <c r="DP382" s="181"/>
      <c r="DQ382" s="181"/>
      <c r="DR382" s="181"/>
      <c r="DS382" s="181"/>
      <c r="DT382" s="181"/>
      <c r="DU382" s="181"/>
      <c r="DV382" s="181"/>
      <c r="DW382" s="181"/>
      <c r="DX382" s="181"/>
      <c r="DY382" s="181"/>
      <c r="DZ382" s="181"/>
      <c r="EA382" s="181"/>
      <c r="EB382" s="181"/>
      <c r="EC382" s="181"/>
      <c r="ED382" s="181"/>
      <c r="EE382" s="181"/>
      <c r="EF382" s="181"/>
      <c r="EG382" s="144">
        <f>EH382</f>
        <v>0</v>
      </c>
      <c r="EH382" s="164">
        <v>0</v>
      </c>
      <c r="EI382" s="181"/>
      <c r="EJ382" s="181"/>
      <c r="EK382" s="105">
        <f>EL382</f>
        <v>0</v>
      </c>
      <c r="EL382" s="181">
        <f>ET382-EH382</f>
        <v>0</v>
      </c>
      <c r="EM382" s="181"/>
      <c r="EN382" s="181"/>
      <c r="EO382" s="105"/>
      <c r="EP382" s="181"/>
      <c r="EQ382" s="181"/>
      <c r="ER382" s="181"/>
      <c r="ES382" s="144">
        <f>ET382</f>
        <v>0</v>
      </c>
      <c r="ET382" s="181">
        <f>SUM(ET383:ET387)</f>
        <v>0</v>
      </c>
      <c r="EU382" s="181"/>
      <c r="EV382" s="181"/>
      <c r="EW382" s="181"/>
      <c r="EX382" s="181"/>
      <c r="EY382" s="181"/>
      <c r="EZ382" s="181"/>
      <c r="FA382" s="181"/>
      <c r="FB382" s="181"/>
      <c r="FC382" s="163">
        <f t="shared" si="792"/>
        <v>17524.323110000001</v>
      </c>
      <c r="FD382" s="163">
        <v>17524.323110000001</v>
      </c>
      <c r="FE382" s="180"/>
      <c r="FF382" s="180"/>
      <c r="FG382" s="180">
        <f>FH382+FI382+FJ382</f>
        <v>0</v>
      </c>
      <c r="FH382" s="180">
        <f t="shared" si="793"/>
        <v>0</v>
      </c>
      <c r="FI382" s="180"/>
      <c r="FJ382" s="180"/>
      <c r="FK382" s="103"/>
      <c r="FL382" s="180"/>
      <c r="FM382" s="180"/>
      <c r="FN382" s="180"/>
      <c r="FO382" s="180">
        <f>FP382</f>
        <v>17524.323109999998</v>
      </c>
      <c r="FP382" s="163">
        <f>14024.32311+3500</f>
        <v>17524.323109999998</v>
      </c>
      <c r="FQ382" s="180"/>
      <c r="FR382" s="180"/>
      <c r="FS382" s="163">
        <f t="shared" si="794"/>
        <v>0</v>
      </c>
      <c r="FT382" s="181">
        <f t="shared" si="795"/>
        <v>0</v>
      </c>
      <c r="FU382" s="163"/>
      <c r="FV382" s="181">
        <f t="shared" si="796"/>
        <v>0</v>
      </c>
      <c r="FW382" s="192"/>
      <c r="FX382" s="181"/>
      <c r="FY382" s="163"/>
      <c r="FZ382" s="181"/>
      <c r="GA382" s="163">
        <f t="shared" si="798"/>
        <v>0</v>
      </c>
      <c r="GB382" s="181"/>
      <c r="GC382" s="163"/>
      <c r="GD382" s="181"/>
      <c r="GE382" s="201"/>
      <c r="GF382" s="181"/>
      <c r="GG382" s="163"/>
      <c r="GH382" s="181"/>
      <c r="GI382" s="163">
        <f t="shared" si="789"/>
        <v>14024.323110000001</v>
      </c>
      <c r="GJ382" s="575">
        <f t="shared" si="786"/>
        <v>0.80027759257629894</v>
      </c>
      <c r="GK382" s="163">
        <f>[10]Лист1!$I$750</f>
        <v>14024.323110000001</v>
      </c>
      <c r="GL382" s="516">
        <f t="shared" si="797"/>
        <v>0.80027759257629894</v>
      </c>
      <c r="GM382" s="201"/>
      <c r="GN382" s="181"/>
      <c r="GO382" s="201"/>
      <c r="GP382" s="577"/>
      <c r="GQ382" s="181"/>
      <c r="GR382" s="181"/>
      <c r="GS382" s="181"/>
      <c r="GT382" s="181"/>
      <c r="GU382" s="181">
        <f t="shared" si="790"/>
        <v>0</v>
      </c>
      <c r="GV382" s="181">
        <v>0</v>
      </c>
      <c r="GW382" s="181"/>
      <c r="GX382" s="181"/>
      <c r="GY382" s="181"/>
      <c r="GZ382" s="181"/>
      <c r="HA382" s="181"/>
      <c r="HB382" s="181"/>
      <c r="HC382" s="181"/>
      <c r="HD382" s="181"/>
      <c r="HE382" s="181"/>
      <c r="HF382" s="181"/>
      <c r="HG382" s="181"/>
      <c r="HH382" s="181"/>
      <c r="HI382" s="181"/>
      <c r="HJ382" s="181"/>
      <c r="HK382" s="181">
        <f>HL382</f>
        <v>0</v>
      </c>
      <c r="HL382" s="181">
        <f>HP382-GV382</f>
        <v>0</v>
      </c>
      <c r="HM382" s="181"/>
      <c r="HN382" s="181"/>
      <c r="HO382" s="181">
        <f t="shared" si="791"/>
        <v>0</v>
      </c>
      <c r="HP382" s="181">
        <v>0</v>
      </c>
      <c r="HQ382" s="181"/>
      <c r="HR382" s="181"/>
      <c r="HS382" s="181">
        <f>HT382</f>
        <v>0</v>
      </c>
      <c r="HT382" s="181">
        <v>0</v>
      </c>
      <c r="HU382" s="181"/>
      <c r="HV382" s="181"/>
      <c r="HW382" s="181">
        <f>HX382</f>
        <v>0</v>
      </c>
      <c r="HX382" s="181">
        <f>IB382-HT382</f>
        <v>0</v>
      </c>
      <c r="HY382" s="181"/>
      <c r="HZ382" s="181"/>
      <c r="IA382" s="181">
        <f>IB382</f>
        <v>0</v>
      </c>
      <c r="IB382" s="181">
        <f>HT382</f>
        <v>0</v>
      </c>
      <c r="IC382" s="181"/>
      <c r="ID382" s="181"/>
      <c r="IE382" s="319" t="s">
        <v>443</v>
      </c>
      <c r="IF382" s="183"/>
      <c r="IG382" s="183"/>
      <c r="IH382" s="183"/>
    </row>
    <row r="383" spans="2:242" s="213" customFormat="1" ht="98.25" hidden="1" customHeight="1" x14ac:dyDescent="0.25">
      <c r="B383" s="350" t="s">
        <v>82</v>
      </c>
      <c r="C383" s="172" t="s">
        <v>448</v>
      </c>
      <c r="D383" s="179"/>
      <c r="E383" s="180"/>
      <c r="F383" s="180"/>
      <c r="G383" s="180"/>
      <c r="H383" s="180"/>
      <c r="I383" s="188"/>
      <c r="J383" s="188"/>
      <c r="K383" s="180"/>
      <c r="L383" s="180"/>
      <c r="M383" s="180"/>
      <c r="N383" s="180"/>
      <c r="O383" s="188"/>
      <c r="P383" s="188"/>
      <c r="Q383" s="181"/>
      <c r="R383" s="181"/>
      <c r="S383" s="181"/>
      <c r="T383" s="181"/>
      <c r="U383" s="181"/>
      <c r="V383" s="181"/>
      <c r="W383" s="181"/>
      <c r="X383" s="189"/>
      <c r="Y383" s="189"/>
      <c r="Z383" s="181"/>
      <c r="AA383" s="181"/>
      <c r="AB383" s="181"/>
      <c r="AC383" s="181"/>
      <c r="AD383" s="181"/>
      <c r="AE383" s="181"/>
      <c r="AF383" s="181"/>
      <c r="AG383" s="181"/>
      <c r="AH383" s="181"/>
      <c r="AI383" s="181"/>
      <c r="AJ383" s="181"/>
      <c r="AK383" s="181"/>
      <c r="AL383" s="181"/>
      <c r="AM383" s="181"/>
      <c r="AN383" s="181"/>
      <c r="AO383" s="181"/>
      <c r="AP383" s="181"/>
      <c r="AQ383" s="181"/>
      <c r="AR383" s="181"/>
      <c r="AS383" s="181"/>
      <c r="AT383" s="181"/>
      <c r="AU383" s="181"/>
      <c r="AV383" s="181"/>
      <c r="AW383" s="189"/>
      <c r="AX383" s="189"/>
      <c r="AY383" s="181"/>
      <c r="AZ383" s="181"/>
      <c r="BA383" s="181"/>
      <c r="BB383" s="181"/>
      <c r="BC383" s="181"/>
      <c r="BD383" s="181"/>
      <c r="BE383" s="181"/>
      <c r="BF383" s="189"/>
      <c r="BG383" s="189"/>
      <c r="BH383" s="181"/>
      <c r="BI383" s="181"/>
      <c r="BJ383" s="181"/>
      <c r="BK383" s="181"/>
      <c r="BL383" s="181"/>
      <c r="BM383" s="181"/>
      <c r="BN383" s="181"/>
      <c r="BO383" s="181"/>
      <c r="BP383" s="181"/>
      <c r="BQ383" s="181"/>
      <c r="BR383" s="181"/>
      <c r="BS383" s="181"/>
      <c r="BT383" s="181"/>
      <c r="BU383" s="181"/>
      <c r="BV383" s="181"/>
      <c r="BW383" s="181"/>
      <c r="BX383" s="181"/>
      <c r="BY383" s="181"/>
      <c r="BZ383" s="189"/>
      <c r="CA383" s="189"/>
      <c r="CB383" s="105"/>
      <c r="CC383" s="181"/>
      <c r="CD383" s="181"/>
      <c r="CE383" s="181"/>
      <c r="CF383" s="181"/>
      <c r="CG383" s="181"/>
      <c r="CH383" s="181"/>
      <c r="CI383" s="181"/>
      <c r="CJ383" s="181"/>
      <c r="CK383" s="181"/>
      <c r="CL383" s="189"/>
      <c r="CM383" s="189"/>
      <c r="CN383" s="189"/>
      <c r="CO383" s="189"/>
      <c r="CP383" s="189"/>
      <c r="CQ383" s="181"/>
      <c r="CR383" s="181"/>
      <c r="CS383" s="181"/>
      <c r="CT383" s="181"/>
      <c r="CU383" s="181"/>
      <c r="CV383" s="181"/>
      <c r="CW383" s="181"/>
      <c r="CX383" s="181"/>
      <c r="CY383" s="181"/>
      <c r="CZ383" s="181"/>
      <c r="DA383" s="181"/>
      <c r="DB383" s="181"/>
      <c r="DC383" s="181"/>
      <c r="DD383" s="181"/>
      <c r="DE383" s="181"/>
      <c r="DF383" s="181"/>
      <c r="DG383" s="181"/>
      <c r="DH383" s="181"/>
      <c r="DI383" s="181"/>
      <c r="DJ383" s="181"/>
      <c r="DK383" s="181"/>
      <c r="DL383" s="181"/>
      <c r="DM383" s="181"/>
      <c r="DN383" s="181"/>
      <c r="DO383" s="181"/>
      <c r="DP383" s="181"/>
      <c r="DQ383" s="181"/>
      <c r="DR383" s="181"/>
      <c r="DS383" s="181"/>
      <c r="DT383" s="181"/>
      <c r="DU383" s="181"/>
      <c r="DV383" s="181"/>
      <c r="DW383" s="181"/>
      <c r="DX383" s="181"/>
      <c r="DY383" s="181"/>
      <c r="DZ383" s="181"/>
      <c r="EA383" s="181"/>
      <c r="EB383" s="181"/>
      <c r="EC383" s="181"/>
      <c r="ED383" s="181"/>
      <c r="EE383" s="181"/>
      <c r="EF383" s="181"/>
      <c r="EG383" s="144">
        <f>EH383</f>
        <v>0</v>
      </c>
      <c r="EH383" s="164">
        <v>0</v>
      </c>
      <c r="EI383" s="181"/>
      <c r="EJ383" s="181"/>
      <c r="EK383" s="105">
        <f>EL383</f>
        <v>0</v>
      </c>
      <c r="EL383" s="181">
        <f>ET383-EH383</f>
        <v>0</v>
      </c>
      <c r="EM383" s="181"/>
      <c r="EN383" s="181"/>
      <c r="EO383" s="105"/>
      <c r="EP383" s="181"/>
      <c r="EQ383" s="181"/>
      <c r="ER383" s="181"/>
      <c r="ES383" s="144">
        <f>ET383</f>
        <v>0</v>
      </c>
      <c r="ET383" s="181">
        <f>SUM(ET384:ET388)</f>
        <v>0</v>
      </c>
      <c r="EU383" s="181"/>
      <c r="EV383" s="181"/>
      <c r="EW383" s="181"/>
      <c r="EX383" s="181"/>
      <c r="EY383" s="181"/>
      <c r="EZ383" s="181"/>
      <c r="FA383" s="181"/>
      <c r="FB383" s="181"/>
      <c r="FC383" s="163">
        <f t="shared" si="792"/>
        <v>5252.5</v>
      </c>
      <c r="FD383" s="163">
        <v>5252.5</v>
      </c>
      <c r="FE383" s="180"/>
      <c r="FF383" s="180"/>
      <c r="FG383" s="180">
        <f>FH383+FI383+FJ383</f>
        <v>2099.1666599999999</v>
      </c>
      <c r="FH383" s="163">
        <f t="shared" si="793"/>
        <v>2099.1666599999999</v>
      </c>
      <c r="FI383" s="180"/>
      <c r="FJ383" s="180"/>
      <c r="FK383" s="103"/>
      <c r="FL383" s="180"/>
      <c r="FM383" s="180"/>
      <c r="FN383" s="180"/>
      <c r="FO383" s="180">
        <f>FP383</f>
        <v>7351.6666599999999</v>
      </c>
      <c r="FP383" s="163">
        <f>FD383+1599.16666+500</f>
        <v>7351.6666599999999</v>
      </c>
      <c r="FQ383" s="180"/>
      <c r="FR383" s="180"/>
      <c r="FS383" s="163">
        <f t="shared" si="794"/>
        <v>0</v>
      </c>
      <c r="FT383" s="181">
        <f t="shared" si="795"/>
        <v>0</v>
      </c>
      <c r="FU383" s="163"/>
      <c r="FV383" s="181">
        <f t="shared" si="796"/>
        <v>0</v>
      </c>
      <c r="FW383" s="192"/>
      <c r="FX383" s="181"/>
      <c r="FY383" s="163"/>
      <c r="FZ383" s="181"/>
      <c r="GA383" s="163">
        <f t="shared" si="798"/>
        <v>0</v>
      </c>
      <c r="GB383" s="181"/>
      <c r="GC383" s="163"/>
      <c r="GD383" s="181"/>
      <c r="GE383" s="201"/>
      <c r="GF383" s="181"/>
      <c r="GG383" s="163"/>
      <c r="GH383" s="181"/>
      <c r="GI383" s="163">
        <f t="shared" si="789"/>
        <v>3752.5</v>
      </c>
      <c r="GJ383" s="575">
        <f t="shared" si="786"/>
        <v>0.71442170395049975</v>
      </c>
      <c r="GK383" s="163">
        <f>[10]Лист1!$I$747</f>
        <v>3752.5</v>
      </c>
      <c r="GL383" s="516">
        <f t="shared" si="797"/>
        <v>0.71442170395049975</v>
      </c>
      <c r="GM383" s="201"/>
      <c r="GN383" s="181"/>
      <c r="GO383" s="201"/>
      <c r="GP383" s="577"/>
      <c r="GQ383" s="181"/>
      <c r="GR383" s="181"/>
      <c r="GS383" s="181"/>
      <c r="GT383" s="181"/>
      <c r="GU383" s="181">
        <f t="shared" si="790"/>
        <v>0</v>
      </c>
      <c r="GV383" s="181">
        <v>0</v>
      </c>
      <c r="GW383" s="181"/>
      <c r="GX383" s="181"/>
      <c r="GY383" s="181"/>
      <c r="GZ383" s="181"/>
      <c r="HA383" s="181"/>
      <c r="HB383" s="181"/>
      <c r="HC383" s="181"/>
      <c r="HD383" s="181"/>
      <c r="HE383" s="181"/>
      <c r="HF383" s="181"/>
      <c r="HG383" s="181"/>
      <c r="HH383" s="181"/>
      <c r="HI383" s="181"/>
      <c r="HJ383" s="181"/>
      <c r="HK383" s="181">
        <f>HL383</f>
        <v>0</v>
      </c>
      <c r="HL383" s="181">
        <f>HP383-GV383</f>
        <v>0</v>
      </c>
      <c r="HM383" s="181"/>
      <c r="HN383" s="181"/>
      <c r="HO383" s="181">
        <f t="shared" si="791"/>
        <v>0</v>
      </c>
      <c r="HP383" s="181">
        <v>0</v>
      </c>
      <c r="HQ383" s="181"/>
      <c r="HR383" s="181"/>
      <c r="HS383" s="181">
        <f>HT383</f>
        <v>0</v>
      </c>
      <c r="HT383" s="181">
        <v>0</v>
      </c>
      <c r="HU383" s="181"/>
      <c r="HV383" s="181"/>
      <c r="HW383" s="181">
        <f>HX383</f>
        <v>0</v>
      </c>
      <c r="HX383" s="181">
        <v>0</v>
      </c>
      <c r="HY383" s="181"/>
      <c r="HZ383" s="181"/>
      <c r="IA383" s="181">
        <f>IB383</f>
        <v>0</v>
      </c>
      <c r="IB383" s="181">
        <f>HT383</f>
        <v>0</v>
      </c>
      <c r="IC383" s="181"/>
      <c r="ID383" s="181"/>
      <c r="IE383" s="319" t="s">
        <v>443</v>
      </c>
      <c r="IF383" s="183"/>
      <c r="IG383" s="183"/>
      <c r="IH383" s="183"/>
    </row>
    <row r="384" spans="2:242" s="213" customFormat="1" ht="43.5" customHeight="1" x14ac:dyDescent="0.25">
      <c r="B384" s="773" t="s">
        <v>449</v>
      </c>
      <c r="C384" s="774"/>
      <c r="D384" s="774"/>
      <c r="E384" s="774"/>
      <c r="F384" s="774"/>
      <c r="G384" s="774"/>
      <c r="H384" s="774"/>
      <c r="I384" s="774"/>
      <c r="J384" s="774"/>
      <c r="K384" s="774"/>
      <c r="L384" s="774"/>
      <c r="M384" s="774"/>
      <c r="N384" s="774"/>
      <c r="O384" s="774"/>
      <c r="P384" s="774"/>
      <c r="Q384" s="774"/>
      <c r="R384" s="774"/>
      <c r="S384" s="774"/>
      <c r="T384" s="774"/>
      <c r="U384" s="774"/>
      <c r="V384" s="774"/>
      <c r="W384" s="774"/>
      <c r="X384" s="774"/>
      <c r="Y384" s="774"/>
      <c r="Z384" s="774"/>
      <c r="AA384" s="774"/>
      <c r="AB384" s="774"/>
      <c r="AC384" s="774"/>
      <c r="AD384" s="774"/>
      <c r="AE384" s="774"/>
      <c r="AF384" s="774"/>
      <c r="AG384" s="774"/>
      <c r="AH384" s="774"/>
      <c r="AI384" s="774"/>
      <c r="AJ384" s="774"/>
      <c r="AK384" s="774"/>
      <c r="AL384" s="774"/>
      <c r="AM384" s="774"/>
      <c r="AN384" s="774"/>
      <c r="AO384" s="774"/>
      <c r="AP384" s="774"/>
      <c r="AQ384" s="774"/>
      <c r="AR384" s="774"/>
      <c r="AS384" s="774"/>
      <c r="AT384" s="774"/>
      <c r="AU384" s="774"/>
      <c r="AV384" s="774"/>
      <c r="AW384" s="774"/>
      <c r="AX384" s="774"/>
      <c r="AY384" s="774"/>
      <c r="AZ384" s="774"/>
      <c r="BA384" s="774"/>
      <c r="BB384" s="774"/>
      <c r="BC384" s="774"/>
      <c r="BD384" s="774"/>
      <c r="BE384" s="774"/>
      <c r="BF384" s="774"/>
      <c r="BG384" s="774"/>
      <c r="BH384" s="774"/>
      <c r="BI384" s="774"/>
      <c r="BJ384" s="774"/>
      <c r="BK384" s="774"/>
      <c r="BL384" s="774"/>
      <c r="BM384" s="774"/>
      <c r="BN384" s="774"/>
      <c r="BO384" s="774"/>
      <c r="BP384" s="774"/>
      <c r="BQ384" s="774"/>
      <c r="BR384" s="774"/>
      <c r="BS384" s="774"/>
      <c r="BT384" s="774"/>
      <c r="BU384" s="774"/>
      <c r="BV384" s="774"/>
      <c r="BW384" s="774"/>
      <c r="BX384" s="774"/>
      <c r="BY384" s="774"/>
      <c r="BZ384" s="774"/>
      <c r="CA384" s="774"/>
      <c r="CB384" s="774"/>
      <c r="CC384" s="774"/>
      <c r="CD384" s="774"/>
      <c r="CE384" s="774"/>
      <c r="CF384" s="774"/>
      <c r="CG384" s="774"/>
      <c r="CH384" s="774"/>
      <c r="CI384" s="774"/>
      <c r="CJ384" s="774"/>
      <c r="CK384" s="774"/>
      <c r="CL384" s="774"/>
      <c r="CM384" s="774"/>
      <c r="CN384" s="774"/>
      <c r="CO384" s="774"/>
      <c r="CP384" s="774"/>
      <c r="CQ384" s="774"/>
      <c r="CR384" s="774"/>
      <c r="CS384" s="774"/>
      <c r="CT384" s="774"/>
      <c r="CU384" s="774"/>
      <c r="CV384" s="774"/>
      <c r="CW384" s="774"/>
      <c r="CX384" s="774"/>
      <c r="CY384" s="774"/>
      <c r="CZ384" s="774"/>
      <c r="DA384" s="774"/>
      <c r="DB384" s="774"/>
      <c r="DC384" s="774"/>
      <c r="DD384" s="774"/>
      <c r="DE384" s="774"/>
      <c r="DF384" s="774"/>
      <c r="DG384" s="774"/>
      <c r="DH384" s="774"/>
      <c r="DI384" s="774"/>
      <c r="DJ384" s="774"/>
      <c r="DK384" s="774"/>
      <c r="DL384" s="774"/>
      <c r="DM384" s="774"/>
      <c r="DN384" s="774"/>
      <c r="DO384" s="774"/>
      <c r="DP384" s="774"/>
      <c r="DQ384" s="774"/>
      <c r="DR384" s="774"/>
      <c r="DS384" s="774"/>
      <c r="DT384" s="774"/>
      <c r="DU384" s="774"/>
      <c r="DV384" s="774"/>
      <c r="DW384" s="774"/>
      <c r="DX384" s="774"/>
      <c r="DY384" s="774"/>
      <c r="DZ384" s="774"/>
      <c r="EA384" s="774"/>
      <c r="EB384" s="774"/>
      <c r="EC384" s="774"/>
      <c r="ED384" s="774"/>
      <c r="EE384" s="774"/>
      <c r="EF384" s="774"/>
      <c r="EG384" s="774"/>
      <c r="EH384" s="774"/>
      <c r="EI384" s="774"/>
      <c r="EJ384" s="774"/>
      <c r="EK384" s="774"/>
      <c r="EL384" s="774"/>
      <c r="EM384" s="774"/>
      <c r="EN384" s="774"/>
      <c r="EO384" s="774"/>
      <c r="EP384" s="774"/>
      <c r="EQ384" s="774"/>
      <c r="ER384" s="774"/>
      <c r="ES384" s="774"/>
      <c r="ET384" s="774"/>
      <c r="EU384" s="774"/>
      <c r="EV384" s="774"/>
      <c r="EW384" s="774"/>
      <c r="EX384" s="774"/>
      <c r="EY384" s="774"/>
      <c r="EZ384" s="774"/>
      <c r="FA384" s="774"/>
      <c r="FB384" s="774"/>
      <c r="FC384" s="774"/>
      <c r="FD384" s="774"/>
      <c r="FE384" s="774"/>
      <c r="FF384" s="774"/>
      <c r="FG384" s="774"/>
      <c r="FH384" s="774"/>
      <c r="FI384" s="774"/>
      <c r="FJ384" s="774"/>
      <c r="FK384" s="774"/>
      <c r="FL384" s="774"/>
      <c r="FM384" s="774"/>
      <c r="FN384" s="774"/>
      <c r="FO384" s="774"/>
      <c r="FP384" s="774"/>
      <c r="FQ384" s="774"/>
      <c r="FR384" s="774"/>
      <c r="FS384" s="774"/>
      <c r="FT384" s="774"/>
      <c r="FU384" s="774"/>
      <c r="FV384" s="774"/>
      <c r="FW384" s="774"/>
      <c r="FX384" s="774"/>
      <c r="FY384" s="774"/>
      <c r="FZ384" s="774"/>
      <c r="GA384" s="774"/>
      <c r="GB384" s="774"/>
      <c r="GC384" s="774"/>
      <c r="GD384" s="774"/>
      <c r="GE384" s="774"/>
      <c r="GF384" s="774"/>
      <c r="GG384" s="774"/>
      <c r="GH384" s="774"/>
      <c r="GI384" s="774"/>
      <c r="GJ384" s="774"/>
      <c r="GK384" s="774"/>
      <c r="GL384" s="774"/>
      <c r="GM384" s="774"/>
      <c r="GN384" s="774"/>
      <c r="GO384" s="774"/>
      <c r="GP384" s="774"/>
      <c r="GQ384" s="774"/>
      <c r="GR384" s="774"/>
      <c r="GS384" s="774"/>
      <c r="GT384" s="774"/>
      <c r="GU384" s="774"/>
      <c r="GV384" s="774"/>
      <c r="GW384" s="774"/>
      <c r="GX384" s="774"/>
      <c r="GY384" s="774"/>
      <c r="GZ384" s="774"/>
      <c r="HA384" s="774"/>
      <c r="HB384" s="774"/>
      <c r="HC384" s="774"/>
      <c r="HD384" s="774"/>
      <c r="HE384" s="774"/>
      <c r="HF384" s="774"/>
      <c r="HG384" s="774"/>
      <c r="HH384" s="774"/>
      <c r="HI384" s="774"/>
      <c r="HJ384" s="774"/>
      <c r="HK384" s="774"/>
      <c r="HL384" s="774"/>
      <c r="HM384" s="774"/>
      <c r="HN384" s="774"/>
      <c r="HO384" s="774"/>
      <c r="HP384" s="774"/>
      <c r="HQ384" s="774"/>
      <c r="HR384" s="774"/>
      <c r="HS384" s="361"/>
      <c r="HT384" s="361"/>
      <c r="HU384" s="361"/>
      <c r="HV384" s="361"/>
      <c r="HW384" s="361"/>
      <c r="HX384" s="361"/>
      <c r="HY384" s="361"/>
      <c r="HZ384" s="361"/>
      <c r="IA384" s="361"/>
      <c r="IB384" s="361"/>
      <c r="IC384" s="361"/>
      <c r="ID384" s="361"/>
      <c r="IE384" s="319"/>
      <c r="IF384" s="183"/>
      <c r="IG384" s="183"/>
      <c r="IH384" s="183"/>
    </row>
    <row r="385" spans="2:242" s="375" customFormat="1" ht="86.25" customHeight="1" thickBot="1" x14ac:dyDescent="0.3">
      <c r="B385" s="362" t="s">
        <v>134</v>
      </c>
      <c r="C385" s="363" t="s">
        <v>450</v>
      </c>
      <c r="D385" s="364"/>
      <c r="E385" s="365"/>
      <c r="F385" s="365"/>
      <c r="G385" s="365"/>
      <c r="H385" s="365"/>
      <c r="I385" s="365"/>
      <c r="J385" s="365"/>
      <c r="K385" s="365"/>
      <c r="L385" s="365"/>
      <c r="M385" s="365"/>
      <c r="N385" s="365"/>
      <c r="O385" s="365"/>
      <c r="P385" s="365"/>
      <c r="Q385" s="366"/>
      <c r="R385" s="366"/>
      <c r="S385" s="366"/>
      <c r="T385" s="366"/>
      <c r="U385" s="366"/>
      <c r="V385" s="366"/>
      <c r="W385" s="366"/>
      <c r="X385" s="366"/>
      <c r="Y385" s="366"/>
      <c r="Z385" s="366"/>
      <c r="AA385" s="366"/>
      <c r="AB385" s="366"/>
      <c r="AC385" s="366"/>
      <c r="AD385" s="366"/>
      <c r="AE385" s="366"/>
      <c r="AF385" s="366"/>
      <c r="AG385" s="366"/>
      <c r="AH385" s="366"/>
      <c r="AI385" s="366"/>
      <c r="AJ385" s="366"/>
      <c r="AK385" s="367"/>
      <c r="AL385" s="367"/>
      <c r="AM385" s="368"/>
      <c r="AN385" s="368"/>
      <c r="AO385" s="369"/>
      <c r="AP385" s="370"/>
      <c r="AQ385" s="368"/>
      <c r="AR385" s="368"/>
      <c r="AS385" s="366"/>
      <c r="AT385" s="366"/>
      <c r="AU385" s="366"/>
      <c r="AV385" s="366"/>
      <c r="AW385" s="366"/>
      <c r="AX385" s="366"/>
      <c r="AY385" s="366"/>
      <c r="AZ385" s="366"/>
      <c r="BA385" s="366"/>
      <c r="BB385" s="366"/>
      <c r="BC385" s="366"/>
      <c r="BD385" s="366"/>
      <c r="BE385" s="366"/>
      <c r="BF385" s="366"/>
      <c r="BG385" s="366"/>
      <c r="BH385" s="366"/>
      <c r="BI385" s="366"/>
      <c r="BJ385" s="366"/>
      <c r="BK385" s="371"/>
      <c r="BL385" s="372"/>
      <c r="BM385" s="366"/>
      <c r="BN385" s="366"/>
      <c r="BO385" s="366"/>
      <c r="BP385" s="366"/>
      <c r="BQ385" s="366"/>
      <c r="BR385" s="366"/>
      <c r="BS385" s="366"/>
      <c r="BT385" s="366"/>
      <c r="BU385" s="366"/>
      <c r="BV385" s="366"/>
      <c r="BW385" s="366"/>
      <c r="BX385" s="366"/>
      <c r="BY385" s="366"/>
      <c r="BZ385" s="366"/>
      <c r="CA385" s="366"/>
      <c r="CB385" s="366"/>
      <c r="CC385" s="366"/>
      <c r="CD385" s="366"/>
      <c r="CE385" s="372"/>
      <c r="CF385" s="372"/>
      <c r="CG385" s="366"/>
      <c r="CH385" s="366"/>
      <c r="CI385" s="366"/>
      <c r="CJ385" s="366"/>
      <c r="CK385" s="366"/>
      <c r="CL385" s="366"/>
      <c r="CM385" s="366"/>
      <c r="CN385" s="366"/>
      <c r="CO385" s="366"/>
      <c r="CP385" s="366"/>
      <c r="CQ385" s="366"/>
      <c r="CR385" s="366"/>
      <c r="CS385" s="366"/>
      <c r="CT385" s="366"/>
      <c r="CU385" s="366"/>
      <c r="CV385" s="366"/>
      <c r="CW385" s="366"/>
      <c r="CX385" s="366"/>
      <c r="CY385" s="366"/>
      <c r="CZ385" s="366"/>
      <c r="DA385" s="366"/>
      <c r="DB385" s="366"/>
      <c r="DC385" s="366"/>
      <c r="DD385" s="366"/>
      <c r="DE385" s="366"/>
      <c r="DF385" s="366"/>
      <c r="DG385" s="366"/>
      <c r="DH385" s="366"/>
      <c r="DI385" s="366"/>
      <c r="DJ385" s="366"/>
      <c r="DK385" s="366"/>
      <c r="DL385" s="366"/>
      <c r="DM385" s="366"/>
      <c r="DN385" s="366"/>
      <c r="DO385" s="366"/>
      <c r="DP385" s="366"/>
      <c r="DQ385" s="366"/>
      <c r="DR385" s="366"/>
      <c r="DS385" s="366"/>
      <c r="DT385" s="366"/>
      <c r="DU385" s="366"/>
      <c r="DV385" s="366"/>
      <c r="DW385" s="366"/>
      <c r="DX385" s="366"/>
      <c r="DY385" s="366"/>
      <c r="DZ385" s="366"/>
      <c r="EA385" s="366"/>
      <c r="EB385" s="366"/>
      <c r="EC385" s="366"/>
      <c r="ED385" s="366"/>
      <c r="EE385" s="366"/>
      <c r="EF385" s="366"/>
      <c r="EG385" s="366">
        <f>EH385+EI385+EJ385</f>
        <v>0</v>
      </c>
      <c r="EH385" s="366">
        <v>0</v>
      </c>
      <c r="EI385" s="366">
        <v>0</v>
      </c>
      <c r="EJ385" s="366">
        <v>0</v>
      </c>
      <c r="EK385" s="366">
        <v>0</v>
      </c>
      <c r="EL385" s="366">
        <v>0</v>
      </c>
      <c r="EM385" s="366">
        <v>0</v>
      </c>
      <c r="EN385" s="366">
        <v>0</v>
      </c>
      <c r="EO385" s="366"/>
      <c r="EP385" s="366"/>
      <c r="EQ385" s="366"/>
      <c r="ER385" s="366"/>
      <c r="ES385" s="366">
        <f>ET385</f>
        <v>0</v>
      </c>
      <c r="ET385" s="366">
        <f>EH385</f>
        <v>0</v>
      </c>
      <c r="EU385" s="366">
        <v>0</v>
      </c>
      <c r="EV385" s="366">
        <v>0</v>
      </c>
      <c r="EW385" s="366"/>
      <c r="EX385" s="366"/>
      <c r="EY385" s="366"/>
      <c r="EZ385" s="366"/>
      <c r="FA385" s="366"/>
      <c r="FB385" s="366"/>
      <c r="FC385" s="365">
        <f>FF385</f>
        <v>6500</v>
      </c>
      <c r="FD385" s="365">
        <v>0</v>
      </c>
      <c r="FE385" s="365">
        <v>0</v>
      </c>
      <c r="FF385" s="365">
        <v>6500</v>
      </c>
      <c r="FG385" s="365">
        <v>0</v>
      </c>
      <c r="FH385" s="365">
        <v>0</v>
      </c>
      <c r="FI385" s="365">
        <v>0</v>
      </c>
      <c r="FJ385" s="365">
        <v>0</v>
      </c>
      <c r="FK385" s="365"/>
      <c r="FL385" s="365"/>
      <c r="FM385" s="365"/>
      <c r="FN385" s="365"/>
      <c r="FO385" s="365">
        <f>FR385</f>
        <v>6500</v>
      </c>
      <c r="FP385" s="365">
        <v>0</v>
      </c>
      <c r="FQ385" s="365">
        <v>0</v>
      </c>
      <c r="FR385" s="365">
        <v>6500</v>
      </c>
      <c r="FS385" s="365">
        <f>FY385</f>
        <v>4225</v>
      </c>
      <c r="FT385" s="597">
        <f>FS385/FC385</f>
        <v>0.65</v>
      </c>
      <c r="FU385" s="366"/>
      <c r="FV385" s="366"/>
      <c r="FW385" s="366"/>
      <c r="FX385" s="366"/>
      <c r="FY385" s="365">
        <v>4225</v>
      </c>
      <c r="FZ385" s="511">
        <f>FY385/FF385</f>
        <v>0.65</v>
      </c>
      <c r="GA385" s="365">
        <f>GC385+GE385+GG385</f>
        <v>6500</v>
      </c>
      <c r="GB385" s="511">
        <f>GA385/FC385</f>
        <v>1</v>
      </c>
      <c r="GC385" s="366">
        <v>0</v>
      </c>
      <c r="GD385" s="366">
        <v>0</v>
      </c>
      <c r="GE385" s="366">
        <v>0</v>
      </c>
      <c r="GF385" s="366">
        <v>0</v>
      </c>
      <c r="GG385" s="365">
        <v>6500</v>
      </c>
      <c r="GH385" s="511">
        <f>GG385/FF385</f>
        <v>1</v>
      </c>
      <c r="GI385" s="365">
        <f>GK385+GM385+GO385</f>
        <v>6500</v>
      </c>
      <c r="GJ385" s="597">
        <f>GI385/FC385</f>
        <v>1</v>
      </c>
      <c r="GK385" s="366">
        <v>0</v>
      </c>
      <c r="GL385" s="366">
        <v>0</v>
      </c>
      <c r="GM385" s="366">
        <v>0</v>
      </c>
      <c r="GN385" s="366">
        <v>0</v>
      </c>
      <c r="GO385" s="365">
        <v>6500</v>
      </c>
      <c r="GP385" s="511">
        <f>GO385/FF385</f>
        <v>1</v>
      </c>
      <c r="GQ385" s="366"/>
      <c r="GR385" s="366"/>
      <c r="GS385" s="366"/>
      <c r="GT385" s="366"/>
      <c r="GU385" s="366">
        <v>0</v>
      </c>
      <c r="GV385" s="366">
        <v>0</v>
      </c>
      <c r="GW385" s="366">
        <v>0</v>
      </c>
      <c r="GX385" s="366">
        <v>0</v>
      </c>
      <c r="GY385" s="366"/>
      <c r="GZ385" s="366"/>
      <c r="HA385" s="366"/>
      <c r="HB385" s="366"/>
      <c r="HC385" s="366"/>
      <c r="HD385" s="366"/>
      <c r="HE385" s="366"/>
      <c r="HF385" s="366"/>
      <c r="HG385" s="366">
        <v>0</v>
      </c>
      <c r="HH385" s="366">
        <v>0</v>
      </c>
      <c r="HI385" s="366">
        <v>0</v>
      </c>
      <c r="HJ385" s="366">
        <v>0</v>
      </c>
      <c r="HK385" s="366"/>
      <c r="HL385" s="366"/>
      <c r="HM385" s="366"/>
      <c r="HN385" s="366"/>
      <c r="HO385" s="366">
        <v>0</v>
      </c>
      <c r="HP385" s="366">
        <v>0</v>
      </c>
      <c r="HQ385" s="366">
        <v>0</v>
      </c>
      <c r="HR385" s="366">
        <v>0</v>
      </c>
      <c r="HS385" s="366">
        <v>0</v>
      </c>
      <c r="HT385" s="366">
        <v>0</v>
      </c>
      <c r="HU385" s="366">
        <v>0</v>
      </c>
      <c r="HV385" s="366">
        <v>0</v>
      </c>
      <c r="HW385" s="366"/>
      <c r="HX385" s="366"/>
      <c r="HY385" s="366"/>
      <c r="HZ385" s="366"/>
      <c r="IA385" s="366">
        <v>0</v>
      </c>
      <c r="IB385" s="366">
        <v>0</v>
      </c>
      <c r="IC385" s="366">
        <v>0</v>
      </c>
      <c r="ID385" s="366">
        <v>0</v>
      </c>
      <c r="IE385" s="373"/>
      <c r="IF385" s="374"/>
      <c r="IG385" s="374"/>
      <c r="IH385" s="374"/>
    </row>
    <row r="386" spans="2:242" s="129" customFormat="1" ht="44.25" customHeight="1" x14ac:dyDescent="0.3">
      <c r="B386" s="773" t="s">
        <v>525</v>
      </c>
      <c r="C386" s="774"/>
      <c r="D386" s="774"/>
      <c r="E386" s="774"/>
      <c r="F386" s="774"/>
      <c r="G386" s="774"/>
      <c r="H386" s="774"/>
      <c r="I386" s="774"/>
      <c r="J386" s="774"/>
      <c r="K386" s="774"/>
      <c r="L386" s="774"/>
      <c r="M386" s="774"/>
      <c r="N386" s="774"/>
      <c r="O386" s="774"/>
      <c r="P386" s="774"/>
      <c r="Q386" s="774"/>
      <c r="R386" s="774"/>
      <c r="S386" s="774"/>
      <c r="T386" s="774"/>
      <c r="U386" s="774"/>
      <c r="V386" s="774"/>
      <c r="W386" s="774"/>
      <c r="X386" s="774"/>
      <c r="Y386" s="774"/>
      <c r="Z386" s="774"/>
      <c r="AA386" s="774"/>
      <c r="AB386" s="774"/>
      <c r="AC386" s="774"/>
      <c r="AD386" s="774"/>
      <c r="AE386" s="774"/>
      <c r="AF386" s="774"/>
      <c r="AG386" s="774"/>
      <c r="AH386" s="774"/>
      <c r="AI386" s="774"/>
      <c r="AJ386" s="774"/>
      <c r="AK386" s="774"/>
      <c r="AL386" s="774"/>
      <c r="AM386" s="774"/>
      <c r="AN386" s="774"/>
      <c r="AO386" s="774"/>
      <c r="AP386" s="774"/>
      <c r="AQ386" s="774"/>
      <c r="AR386" s="774"/>
      <c r="AS386" s="774"/>
      <c r="AT386" s="774"/>
      <c r="AU386" s="774"/>
      <c r="AV386" s="774"/>
      <c r="AW386" s="774"/>
      <c r="AX386" s="774"/>
      <c r="AY386" s="774"/>
      <c r="AZ386" s="774"/>
      <c r="BA386" s="774"/>
      <c r="BB386" s="774"/>
      <c r="BC386" s="774"/>
      <c r="BD386" s="774"/>
      <c r="BE386" s="774"/>
      <c r="BF386" s="774"/>
      <c r="BG386" s="774"/>
      <c r="BH386" s="774"/>
      <c r="BI386" s="774"/>
      <c r="BJ386" s="774"/>
      <c r="BK386" s="774"/>
      <c r="BL386" s="774"/>
      <c r="BM386" s="774"/>
      <c r="BN386" s="774"/>
      <c r="BO386" s="774"/>
      <c r="BP386" s="774"/>
      <c r="BQ386" s="774"/>
      <c r="BR386" s="774"/>
      <c r="BS386" s="774"/>
      <c r="BT386" s="774"/>
      <c r="BU386" s="774"/>
      <c r="BV386" s="774"/>
      <c r="BW386" s="774"/>
      <c r="BX386" s="774"/>
      <c r="BY386" s="774"/>
      <c r="BZ386" s="774"/>
      <c r="CA386" s="774"/>
      <c r="CB386" s="774"/>
      <c r="CC386" s="774"/>
      <c r="CD386" s="774"/>
      <c r="CE386" s="774"/>
      <c r="CF386" s="774"/>
      <c r="CG386" s="774"/>
      <c r="CH386" s="774"/>
      <c r="CI386" s="774"/>
      <c r="CJ386" s="774"/>
      <c r="CK386" s="774"/>
      <c r="CL386" s="774"/>
      <c r="CM386" s="774"/>
      <c r="CN386" s="774"/>
      <c r="CO386" s="774"/>
      <c r="CP386" s="774"/>
      <c r="CQ386" s="774"/>
      <c r="CR386" s="774"/>
      <c r="CS386" s="774"/>
      <c r="CT386" s="774"/>
      <c r="CU386" s="774"/>
      <c r="CV386" s="774"/>
      <c r="CW386" s="774"/>
      <c r="CX386" s="774"/>
      <c r="CY386" s="774"/>
      <c r="CZ386" s="774"/>
      <c r="DA386" s="774"/>
      <c r="DB386" s="774"/>
      <c r="DC386" s="774"/>
      <c r="DD386" s="774"/>
      <c r="DE386" s="774"/>
      <c r="DF386" s="774"/>
      <c r="DG386" s="774"/>
      <c r="DH386" s="774"/>
      <c r="DI386" s="774"/>
      <c r="DJ386" s="774"/>
      <c r="DK386" s="774"/>
      <c r="DL386" s="774"/>
      <c r="DM386" s="774"/>
      <c r="DN386" s="774"/>
      <c r="DO386" s="774"/>
      <c r="DP386" s="774"/>
      <c r="DQ386" s="774"/>
      <c r="DR386" s="774"/>
      <c r="DS386" s="774"/>
      <c r="DT386" s="774"/>
      <c r="DU386" s="774"/>
      <c r="DV386" s="774"/>
      <c r="DW386" s="774"/>
      <c r="DX386" s="774"/>
      <c r="DY386" s="774"/>
      <c r="DZ386" s="774"/>
      <c r="EA386" s="774"/>
      <c r="EB386" s="774"/>
      <c r="EC386" s="774"/>
      <c r="ED386" s="774"/>
      <c r="EE386" s="774"/>
      <c r="EF386" s="774"/>
      <c r="EG386" s="774"/>
      <c r="EH386" s="774"/>
      <c r="EI386" s="774"/>
      <c r="EJ386" s="774"/>
      <c r="EK386" s="774"/>
      <c r="EL386" s="774"/>
      <c r="EM386" s="774"/>
      <c r="EN386" s="774"/>
      <c r="EO386" s="774"/>
      <c r="EP386" s="774"/>
      <c r="EQ386" s="774"/>
      <c r="ER386" s="774"/>
      <c r="ES386" s="774"/>
      <c r="ET386" s="774"/>
      <c r="EU386" s="774"/>
      <c r="EV386" s="774"/>
      <c r="EW386" s="774"/>
      <c r="EX386" s="774"/>
      <c r="EY386" s="774"/>
      <c r="EZ386" s="774"/>
      <c r="FA386" s="774"/>
      <c r="FB386" s="774"/>
      <c r="FC386" s="774"/>
      <c r="FD386" s="774"/>
      <c r="FE386" s="774"/>
      <c r="FF386" s="774"/>
      <c r="FG386" s="774"/>
      <c r="FH386" s="774"/>
      <c r="FI386" s="774"/>
      <c r="FJ386" s="774"/>
      <c r="FK386" s="774"/>
      <c r="FL386" s="774"/>
      <c r="FM386" s="774"/>
      <c r="FN386" s="774"/>
      <c r="FO386" s="774"/>
      <c r="FP386" s="774"/>
      <c r="FQ386" s="774"/>
      <c r="FR386" s="774"/>
      <c r="FS386" s="774"/>
      <c r="FT386" s="774"/>
      <c r="FU386" s="774"/>
      <c r="FV386" s="774"/>
      <c r="FW386" s="774"/>
      <c r="FX386" s="774"/>
      <c r="FY386" s="774"/>
      <c r="FZ386" s="774"/>
      <c r="GA386" s="774"/>
      <c r="GB386" s="774"/>
      <c r="GC386" s="774"/>
      <c r="GD386" s="774"/>
      <c r="GE386" s="774"/>
      <c r="GF386" s="774"/>
      <c r="GG386" s="774"/>
      <c r="GH386" s="774"/>
      <c r="GI386" s="774"/>
      <c r="GJ386" s="774"/>
      <c r="GK386" s="774"/>
      <c r="GL386" s="774"/>
      <c r="GM386" s="774"/>
      <c r="GN386" s="774"/>
      <c r="GO386" s="774"/>
      <c r="GP386" s="774"/>
      <c r="GQ386" s="774"/>
      <c r="GR386" s="774"/>
      <c r="GS386" s="774"/>
      <c r="GT386" s="774"/>
      <c r="GU386" s="774"/>
      <c r="GV386" s="774"/>
      <c r="GW386" s="774"/>
      <c r="GX386" s="774"/>
      <c r="GY386" s="774"/>
      <c r="GZ386" s="774"/>
      <c r="HA386" s="774"/>
      <c r="HB386" s="774"/>
      <c r="HC386" s="774"/>
      <c r="HD386" s="774"/>
      <c r="HE386" s="774"/>
      <c r="HF386" s="774"/>
      <c r="HG386" s="774"/>
      <c r="HH386" s="774"/>
      <c r="HI386" s="774"/>
      <c r="HJ386" s="774"/>
      <c r="HK386" s="774"/>
      <c r="HL386" s="774"/>
      <c r="HM386" s="774"/>
      <c r="HN386" s="774"/>
      <c r="HO386" s="774"/>
      <c r="HP386" s="774"/>
      <c r="HQ386" s="774"/>
      <c r="HR386" s="774"/>
      <c r="HS386" s="775"/>
      <c r="HT386" s="775"/>
      <c r="HU386" s="775"/>
      <c r="HV386" s="775"/>
      <c r="HW386" s="775"/>
      <c r="HX386" s="775"/>
      <c r="HY386" s="775"/>
      <c r="HZ386" s="775"/>
      <c r="IA386" s="775"/>
      <c r="IB386" s="775"/>
      <c r="IC386" s="775"/>
      <c r="ID386" s="775"/>
      <c r="IE386" s="776"/>
      <c r="IF386" s="339"/>
      <c r="IG386" s="339"/>
      <c r="IH386" s="339"/>
    </row>
    <row r="387" spans="2:242" s="375" customFormat="1" ht="66" customHeight="1" thickBot="1" x14ac:dyDescent="0.3">
      <c r="B387" s="362" t="s">
        <v>134</v>
      </c>
      <c r="C387" s="363" t="s">
        <v>451</v>
      </c>
      <c r="D387" s="364" t="s">
        <v>452</v>
      </c>
      <c r="E387" s="365">
        <f>F387+G387</f>
        <v>4456.0509999999995</v>
      </c>
      <c r="F387" s="365">
        <f>F388+F390</f>
        <v>2919.1757699999998</v>
      </c>
      <c r="G387" s="365">
        <f>G388+G390</f>
        <v>1536.8752300000001</v>
      </c>
      <c r="H387" s="365">
        <f>I387+J387</f>
        <v>15328.551740000001</v>
      </c>
      <c r="I387" s="365">
        <f>I388+I390</f>
        <v>5556.3421799999996</v>
      </c>
      <c r="J387" s="365">
        <f>J388+J390</f>
        <v>9772.2095600000011</v>
      </c>
      <c r="K387" s="365">
        <f>L387+M387</f>
        <v>19784.602740000002</v>
      </c>
      <c r="L387" s="365">
        <f>L388+L390</f>
        <v>8475.5179499999995</v>
      </c>
      <c r="M387" s="365">
        <f>M388+M390</f>
        <v>11309.084790000001</v>
      </c>
      <c r="N387" s="365">
        <f>O387+P387</f>
        <v>0</v>
      </c>
      <c r="O387" s="365">
        <f>O388+O390</f>
        <v>0</v>
      </c>
      <c r="P387" s="365">
        <f>P388+P390</f>
        <v>0</v>
      </c>
      <c r="Q387" s="366">
        <f>R387+S387</f>
        <v>19784.602740000002</v>
      </c>
      <c r="R387" s="366">
        <f>R388+R390</f>
        <v>8475.5179499999995</v>
      </c>
      <c r="S387" s="366">
        <f>S388+S390</f>
        <v>11309.084790000001</v>
      </c>
      <c r="T387" s="366">
        <f>U387+V387</f>
        <v>1555</v>
      </c>
      <c r="U387" s="366">
        <f>U388+U390</f>
        <v>0</v>
      </c>
      <c r="V387" s="366">
        <f>V388+V390</f>
        <v>1555</v>
      </c>
      <c r="W387" s="366" t="e">
        <f>X387+Y387</f>
        <v>#REF!</v>
      </c>
      <c r="X387" s="366" t="e">
        <f>X388+X390</f>
        <v>#REF!</v>
      </c>
      <c r="Y387" s="366">
        <f>Y388+Y390</f>
        <v>-1555</v>
      </c>
      <c r="Z387" s="366" t="e">
        <f>AA387+AB387</f>
        <v>#REF!</v>
      </c>
      <c r="AA387" s="366" t="e">
        <f>AA388+AA390</f>
        <v>#REF!</v>
      </c>
      <c r="AB387" s="366">
        <f>AB388+AB390</f>
        <v>0</v>
      </c>
      <c r="AC387" s="366">
        <f>AD387+AE387</f>
        <v>0</v>
      </c>
      <c r="AD387" s="366"/>
      <c r="AE387" s="366">
        <f>AE388+AE390</f>
        <v>0</v>
      </c>
      <c r="AF387" s="366" t="e">
        <f>AG387+AH387</f>
        <v>#REF!</v>
      </c>
      <c r="AG387" s="366" t="e">
        <f>AG388+AG390</f>
        <v>#REF!</v>
      </c>
      <c r="AH387" s="366">
        <f>AH388+AH390</f>
        <v>0</v>
      </c>
      <c r="AI387" s="366">
        <v>0</v>
      </c>
      <c r="AJ387" s="366">
        <v>0</v>
      </c>
      <c r="AK387" s="367" t="e">
        <f>Z387-AJ387</f>
        <v>#REF!</v>
      </c>
      <c r="AL387" s="367" t="e">
        <f>AF387-AJ387</f>
        <v>#REF!</v>
      </c>
      <c r="AM387" s="368" t="s">
        <v>453</v>
      </c>
      <c r="AN387" s="368" t="s">
        <v>453</v>
      </c>
      <c r="AO387" s="369">
        <v>1</v>
      </c>
      <c r="AP387" s="370">
        <v>19700</v>
      </c>
      <c r="AQ387" s="368"/>
      <c r="AR387" s="368"/>
      <c r="AS387" s="366">
        <f>AT387+AU387</f>
        <v>20000.400000000001</v>
      </c>
      <c r="AT387" s="366">
        <f>'[5]2018-2019 _с лимит75и50'!BQ216</f>
        <v>20000.400000000001</v>
      </c>
      <c r="AU387" s="366">
        <f>AU388+AU390</f>
        <v>0</v>
      </c>
      <c r="AV387" s="366">
        <f>AW387+AX387</f>
        <v>0</v>
      </c>
      <c r="AW387" s="366">
        <f>AW388+AW390</f>
        <v>0</v>
      </c>
      <c r="AX387" s="366">
        <f>AX388+AX390</f>
        <v>0</v>
      </c>
      <c r="AY387" s="366">
        <f>AZ387+BA387</f>
        <v>20000.400000000001</v>
      </c>
      <c r="AZ387" s="366">
        <f>AT387+AW387</f>
        <v>20000.400000000001</v>
      </c>
      <c r="BA387" s="366">
        <f>BA388+BA390</f>
        <v>0</v>
      </c>
      <c r="BB387" s="366">
        <f>BC387+BD387</f>
        <v>0</v>
      </c>
      <c r="BC387" s="366">
        <f>BC388+BC390</f>
        <v>0</v>
      </c>
      <c r="BD387" s="366">
        <f>BD388+BD390</f>
        <v>0</v>
      </c>
      <c r="BE387" s="366">
        <f>BF387+BG387</f>
        <v>-0.40000000000145519</v>
      </c>
      <c r="BF387" s="366">
        <f>BI387-AZ387</f>
        <v>-0.40000000000145519</v>
      </c>
      <c r="BG387" s="366">
        <f>BG388+BG390</f>
        <v>0</v>
      </c>
      <c r="BH387" s="366">
        <f>BI387+BJ387</f>
        <v>20000</v>
      </c>
      <c r="BI387" s="366">
        <v>20000</v>
      </c>
      <c r="BJ387" s="366">
        <f>BJ388+BJ390</f>
        <v>0</v>
      </c>
      <c r="BK387" s="371">
        <v>1</v>
      </c>
      <c r="BL387" s="372">
        <f>AZ387</f>
        <v>20000.400000000001</v>
      </c>
      <c r="BM387" s="366">
        <f>BN387+BO387</f>
        <v>20000</v>
      </c>
      <c r="BN387" s="366">
        <f>BI387</f>
        <v>20000</v>
      </c>
      <c r="BO387" s="366">
        <f>BO388+BO390</f>
        <v>0</v>
      </c>
      <c r="BP387" s="366">
        <f>BQ387+BR387</f>
        <v>0</v>
      </c>
      <c r="BQ387" s="366">
        <v>0</v>
      </c>
      <c r="BR387" s="366">
        <f>BR388+BR390</f>
        <v>0</v>
      </c>
      <c r="BS387" s="366">
        <f>BT387+BU387</f>
        <v>0</v>
      </c>
      <c r="BT387" s="366">
        <v>0</v>
      </c>
      <c r="BU387" s="366">
        <f>BU388+BU390</f>
        <v>0</v>
      </c>
      <c r="BV387" s="366">
        <f>BW387+BX387</f>
        <v>20000.400000000001</v>
      </c>
      <c r="BW387" s="366">
        <v>20000.400000000001</v>
      </c>
      <c r="BX387" s="366">
        <f>BX388+BX390</f>
        <v>0</v>
      </c>
      <c r="BY387" s="366">
        <f>BZ387+CA387</f>
        <v>0</v>
      </c>
      <c r="BZ387" s="366">
        <f>CC387-BI387</f>
        <v>0</v>
      </c>
      <c r="CA387" s="366">
        <f>CA388+CA390</f>
        <v>0</v>
      </c>
      <c r="CB387" s="366">
        <f>CC387+CD387</f>
        <v>20000</v>
      </c>
      <c r="CC387" s="366">
        <f>BI387</f>
        <v>20000</v>
      </c>
      <c r="CD387" s="366">
        <f>CD388+CD390</f>
        <v>0</v>
      </c>
      <c r="CE387" s="372">
        <v>1</v>
      </c>
      <c r="CF387" s="372">
        <f>BW387</f>
        <v>20000.400000000001</v>
      </c>
      <c r="CG387" s="366"/>
      <c r="CH387" s="366" t="e">
        <f>CI387+CJ387</f>
        <v>#REF!</v>
      </c>
      <c r="CI387" s="366" t="e">
        <f>'[5]2018-2019 _с лимит75и50'!DC216</f>
        <v>#REF!</v>
      </c>
      <c r="CJ387" s="366">
        <f>CJ388+CJ390</f>
        <v>0</v>
      </c>
      <c r="CK387" s="366" t="e">
        <f>CL387+CM387</f>
        <v>#REF!</v>
      </c>
      <c r="CL387" s="366" t="e">
        <f>CR387-CH387</f>
        <v>#REF!</v>
      </c>
      <c r="CM387" s="366">
        <f>CM388+CM390</f>
        <v>0</v>
      </c>
      <c r="CN387" s="366">
        <f>CO387+CP387</f>
        <v>0</v>
      </c>
      <c r="CO387" s="366">
        <v>0</v>
      </c>
      <c r="CP387" s="366">
        <f>CP388+CP390</f>
        <v>0</v>
      </c>
      <c r="CQ387" s="366">
        <f>CR387+CS387</f>
        <v>20000</v>
      </c>
      <c r="CR387" s="366">
        <f>20000</f>
        <v>20000</v>
      </c>
      <c r="CS387" s="366">
        <f>CS388+CS390</f>
        <v>0</v>
      </c>
      <c r="CT387" s="366">
        <f>CU387+CV387</f>
        <v>0</v>
      </c>
      <c r="CU387" s="366">
        <f>CA387</f>
        <v>0</v>
      </c>
      <c r="CV387" s="366">
        <f>CV388+CV390</f>
        <v>0</v>
      </c>
      <c r="CW387" s="366">
        <f>CX387+CY387</f>
        <v>20000</v>
      </c>
      <c r="CX387" s="366">
        <v>20000</v>
      </c>
      <c r="CY387" s="366"/>
      <c r="CZ387" s="366">
        <f>DA387+DB387</f>
        <v>20000</v>
      </c>
      <c r="DA387" s="366">
        <f>20000</f>
        <v>20000</v>
      </c>
      <c r="DB387" s="366">
        <f>DB388+DB390</f>
        <v>0</v>
      </c>
      <c r="DC387" s="366">
        <v>0</v>
      </c>
      <c r="DD387" s="366">
        <v>0</v>
      </c>
      <c r="DE387" s="366">
        <v>0</v>
      </c>
      <c r="DF387" s="366">
        <f>DG387</f>
        <v>0</v>
      </c>
      <c r="DG387" s="366">
        <f>DJ387-CX387</f>
        <v>0</v>
      </c>
      <c r="DH387" s="366"/>
      <c r="DI387" s="366">
        <f>DJ387+DK387</f>
        <v>20000</v>
      </c>
      <c r="DJ387" s="366">
        <f>CX387</f>
        <v>20000</v>
      </c>
      <c r="DK387" s="366"/>
      <c r="DL387" s="366">
        <f>DM387+DN387</f>
        <v>0</v>
      </c>
      <c r="DM387" s="366">
        <v>0</v>
      </c>
      <c r="DN387" s="366"/>
      <c r="DO387" s="366">
        <f>DP387+DQ387</f>
        <v>0</v>
      </c>
      <c r="DP387" s="366">
        <f>DD387</f>
        <v>0</v>
      </c>
      <c r="DQ387" s="366"/>
      <c r="DR387" s="366">
        <f>DS387+DT387</f>
        <v>20000</v>
      </c>
      <c r="DS387" s="366">
        <f>DJ387-DM387-DP387</f>
        <v>20000</v>
      </c>
      <c r="DT387" s="366"/>
      <c r="DU387" s="366">
        <f>DV387+DW387</f>
        <v>20000</v>
      </c>
      <c r="DV387" s="366">
        <f>20000</f>
        <v>20000</v>
      </c>
      <c r="DW387" s="366"/>
      <c r="DX387" s="366">
        <f>DY387+DZ387</f>
        <v>20000</v>
      </c>
      <c r="DY387" s="366">
        <f>20000</f>
        <v>20000</v>
      </c>
      <c r="DZ387" s="366">
        <f>DZ388+DZ390</f>
        <v>0</v>
      </c>
      <c r="EA387" s="366"/>
      <c r="EB387" s="366"/>
      <c r="EC387" s="366"/>
      <c r="ED387" s="366"/>
      <c r="EE387" s="366"/>
      <c r="EF387" s="366"/>
      <c r="EG387" s="366">
        <f>EH387</f>
        <v>20000</v>
      </c>
      <c r="EH387" s="366">
        <f>DV387-EE387</f>
        <v>20000</v>
      </c>
      <c r="EI387" s="366"/>
      <c r="EJ387" s="366"/>
      <c r="EK387" s="366">
        <f>EL387+EN387</f>
        <v>-20000</v>
      </c>
      <c r="EL387" s="366">
        <f>ET387-EH387</f>
        <v>-20000</v>
      </c>
      <c r="EM387" s="366"/>
      <c r="EN387" s="366"/>
      <c r="EO387" s="366">
        <f>EP387+ER387</f>
        <v>0</v>
      </c>
      <c r="EP387" s="366"/>
      <c r="EQ387" s="366"/>
      <c r="ER387" s="366"/>
      <c r="ES387" s="366">
        <f>ET387</f>
        <v>0</v>
      </c>
      <c r="ET387" s="366"/>
      <c r="EU387" s="366"/>
      <c r="EV387" s="366"/>
      <c r="EW387" s="366">
        <f>EX387+EY387</f>
        <v>20000</v>
      </c>
      <c r="EX387" s="366">
        <f>20000</f>
        <v>20000</v>
      </c>
      <c r="EY387" s="366">
        <f>EY388+EY390</f>
        <v>0</v>
      </c>
      <c r="EZ387" s="366"/>
      <c r="FA387" s="366"/>
      <c r="FB387" s="366"/>
      <c r="FC387" s="365">
        <f>FD387+FE387+FF387</f>
        <v>20000</v>
      </c>
      <c r="FD387" s="365">
        <f>SUM(FD388:FD390)</f>
        <v>19922</v>
      </c>
      <c r="FE387" s="365">
        <f>SUM(FE388:FE390)</f>
        <v>0</v>
      </c>
      <c r="FF387" s="365">
        <f>SUM(FF388:FF390)</f>
        <v>78</v>
      </c>
      <c r="FG387" s="365">
        <f>FH387+FJ387</f>
        <v>0</v>
      </c>
      <c r="FH387" s="365">
        <f>FH388</f>
        <v>0</v>
      </c>
      <c r="FI387" s="365"/>
      <c r="FJ387" s="365"/>
      <c r="FK387" s="365">
        <f>FL387+FN387</f>
        <v>0</v>
      </c>
      <c r="FL387" s="365"/>
      <c r="FM387" s="365"/>
      <c r="FN387" s="365"/>
      <c r="FO387" s="365">
        <f>FP387</f>
        <v>19922</v>
      </c>
      <c r="FP387" s="365">
        <f>FD387</f>
        <v>19922</v>
      </c>
      <c r="FQ387" s="365"/>
      <c r="FR387" s="365"/>
      <c r="FS387" s="365">
        <f>FU387+FW387+FY387</f>
        <v>4336.8699500000002</v>
      </c>
      <c r="FT387" s="597">
        <f>FS387/FC387</f>
        <v>0.21684349750000001</v>
      </c>
      <c r="FU387" s="365">
        <f>SUM(FU388:FU390)</f>
        <v>4258.8699500000002</v>
      </c>
      <c r="FV387" s="597">
        <f>FU387/FD387</f>
        <v>0.21377722869189841</v>
      </c>
      <c r="FW387" s="366"/>
      <c r="FX387" s="366"/>
      <c r="FY387" s="365">
        <f>GG387</f>
        <v>78</v>
      </c>
      <c r="FZ387" s="511">
        <f>FY387/FF387</f>
        <v>1</v>
      </c>
      <c r="GA387" s="365">
        <f>GC387+GE387+GG387</f>
        <v>4336.8699500000002</v>
      </c>
      <c r="GB387" s="597">
        <f>GA387/FC387</f>
        <v>0.21684349750000001</v>
      </c>
      <c r="GC387" s="365">
        <f>SUM(GC388:GC390)</f>
        <v>4258.8699500000002</v>
      </c>
      <c r="GD387" s="597">
        <f>GC387/FD387</f>
        <v>0.21377722869189841</v>
      </c>
      <c r="GE387" s="366">
        <v>0</v>
      </c>
      <c r="GF387" s="366">
        <v>0</v>
      </c>
      <c r="GG387" s="365">
        <f>GG390</f>
        <v>78</v>
      </c>
      <c r="GH387" s="597">
        <f>GG387/FF387</f>
        <v>1</v>
      </c>
      <c r="GI387" s="365">
        <f>GK387+GM387+GO387</f>
        <v>4336.8699500000002</v>
      </c>
      <c r="GJ387" s="597">
        <f>GI387/FC387</f>
        <v>0.21684349750000001</v>
      </c>
      <c r="GK387" s="365">
        <f>SUM(GK388:GK390)</f>
        <v>4258.8699500000002</v>
      </c>
      <c r="GL387" s="597">
        <f>GK387/FD387</f>
        <v>0.21377722869189841</v>
      </c>
      <c r="GM387" s="366"/>
      <c r="GN387" s="366"/>
      <c r="GO387" s="365">
        <f>GG387</f>
        <v>78</v>
      </c>
      <c r="GP387" s="511">
        <f>GO387/FF387</f>
        <v>1</v>
      </c>
      <c r="GQ387" s="366"/>
      <c r="GR387" s="366"/>
      <c r="GS387" s="366"/>
      <c r="GT387" s="366"/>
      <c r="GU387" s="366">
        <f>GV387</f>
        <v>19922</v>
      </c>
      <c r="GV387" s="366">
        <f>FP387</f>
        <v>19922</v>
      </c>
      <c r="GW387" s="366"/>
      <c r="GX387" s="366"/>
      <c r="GY387" s="366"/>
      <c r="GZ387" s="366"/>
      <c r="HA387" s="366"/>
      <c r="HB387" s="366"/>
      <c r="HC387" s="366"/>
      <c r="HD387" s="366"/>
      <c r="HE387" s="366"/>
      <c r="HF387" s="366"/>
      <c r="HG387" s="366">
        <f>HH387</f>
        <v>0</v>
      </c>
      <c r="HH387" s="366">
        <f>HD387</f>
        <v>0</v>
      </c>
      <c r="HI387" s="366"/>
      <c r="HJ387" s="366"/>
      <c r="HK387" s="366">
        <f>HL387</f>
        <v>0</v>
      </c>
      <c r="HL387" s="366">
        <f>HH387</f>
        <v>0</v>
      </c>
      <c r="HM387" s="366"/>
      <c r="HN387" s="366"/>
      <c r="HO387" s="366">
        <f>HP387</f>
        <v>19922</v>
      </c>
      <c r="HP387" s="366">
        <f>GV387</f>
        <v>19922</v>
      </c>
      <c r="HQ387" s="366"/>
      <c r="HR387" s="366"/>
      <c r="HS387" s="366">
        <f>HT387</f>
        <v>19922</v>
      </c>
      <c r="HT387" s="366">
        <f>HP387</f>
        <v>19922</v>
      </c>
      <c r="HU387" s="366"/>
      <c r="HV387" s="366"/>
      <c r="HW387" s="366">
        <f>HX387</f>
        <v>0</v>
      </c>
      <c r="HX387" s="366">
        <v>0</v>
      </c>
      <c r="HY387" s="366"/>
      <c r="HZ387" s="366"/>
      <c r="IA387" s="366">
        <f>IB387</f>
        <v>19922</v>
      </c>
      <c r="IB387" s="366">
        <f>HT387</f>
        <v>19922</v>
      </c>
      <c r="IC387" s="366"/>
      <c r="ID387" s="366"/>
      <c r="IE387" s="376" t="s">
        <v>454</v>
      </c>
      <c r="IF387" s="374"/>
      <c r="IG387" s="374"/>
      <c r="IH387" s="374"/>
    </row>
    <row r="388" spans="2:242" s="129" customFormat="1" ht="18" hidden="1" customHeight="1" x14ac:dyDescent="0.25">
      <c r="B388" s="377"/>
      <c r="C388" s="378" t="s">
        <v>467</v>
      </c>
      <c r="D388" s="379" t="s">
        <v>455</v>
      </c>
      <c r="E388" s="380">
        <f>F388+G388</f>
        <v>3696.0509999999999</v>
      </c>
      <c r="F388" s="380">
        <v>2919.1757699999998</v>
      </c>
      <c r="G388" s="380">
        <v>776.87522999999999</v>
      </c>
      <c r="H388" s="380">
        <f>I388+J388</f>
        <v>10086.60174</v>
      </c>
      <c r="I388" s="381">
        <f>L388-F388</f>
        <v>536.3421800000001</v>
      </c>
      <c r="J388" s="381">
        <f>M388-G388</f>
        <v>9550.2595600000004</v>
      </c>
      <c r="K388" s="380">
        <f>L388+M388</f>
        <v>13782.65274</v>
      </c>
      <c r="L388" s="380">
        <f>2919.17577+536.34218</f>
        <v>3455.5179499999999</v>
      </c>
      <c r="M388" s="380">
        <f>776.87523+9550.25956</f>
        <v>10327.13479</v>
      </c>
      <c r="N388" s="380">
        <f>O388+P388</f>
        <v>0</v>
      </c>
      <c r="O388" s="381">
        <f>R388-L388</f>
        <v>0</v>
      </c>
      <c r="P388" s="381">
        <f>S388-M388</f>
        <v>0</v>
      </c>
      <c r="Q388" s="382">
        <f>R388+S388</f>
        <v>13782.65274</v>
      </c>
      <c r="R388" s="382">
        <f>2919.17577+536.34218</f>
        <v>3455.5179499999999</v>
      </c>
      <c r="S388" s="382">
        <f>776.87523+9550.25956</f>
        <v>10327.13479</v>
      </c>
      <c r="T388" s="382">
        <f>U388+V388</f>
        <v>1555</v>
      </c>
      <c r="U388" s="382"/>
      <c r="V388" s="382">
        <v>1555</v>
      </c>
      <c r="W388" s="382">
        <f>X388+Y388</f>
        <v>-1555</v>
      </c>
      <c r="X388" s="383">
        <f>AA388-U388</f>
        <v>0</v>
      </c>
      <c r="Y388" s="383">
        <f>AB388-V388</f>
        <v>-1555</v>
      </c>
      <c r="Z388" s="382">
        <f>AA388+AB388</f>
        <v>0</v>
      </c>
      <c r="AA388" s="382">
        <f>'[3]2017_с остатком на торги'!$AG$206</f>
        <v>0</v>
      </c>
      <c r="AB388" s="382">
        <v>0</v>
      </c>
      <c r="AC388" s="382">
        <f>AD388+AE388</f>
        <v>0</v>
      </c>
      <c r="AD388" s="382">
        <f>'[3]2017_с остатком на торги'!$AG$206</f>
        <v>0</v>
      </c>
      <c r="AE388" s="382">
        <v>0</v>
      </c>
      <c r="AF388" s="382">
        <f>AG388+AH388</f>
        <v>0</v>
      </c>
      <c r="AG388" s="382">
        <f>'[3]2017_с остатком на торги'!$AG$206</f>
        <v>0</v>
      </c>
      <c r="AH388" s="382">
        <v>0</v>
      </c>
      <c r="AI388" s="382">
        <v>0</v>
      </c>
      <c r="AJ388" s="382">
        <v>0</v>
      </c>
      <c r="AK388" s="382">
        <f>Z388-AJ388</f>
        <v>0</v>
      </c>
      <c r="AL388" s="382">
        <f>AF388-AJ388</f>
        <v>0</v>
      </c>
      <c r="AM388" s="382"/>
      <c r="AN388" s="382"/>
      <c r="AO388" s="384"/>
      <c r="AP388" s="382"/>
      <c r="AQ388" s="382"/>
      <c r="AR388" s="382"/>
      <c r="AS388" s="382">
        <f>AT388+AU388</f>
        <v>0</v>
      </c>
      <c r="AT388" s="382">
        <f>AJ388</f>
        <v>0</v>
      </c>
      <c r="AU388" s="382"/>
      <c r="AV388" s="382">
        <f>AW388+AX388</f>
        <v>0</v>
      </c>
      <c r="AW388" s="383">
        <f>AZ388-AT388</f>
        <v>0</v>
      </c>
      <c r="AX388" s="383">
        <f>BA388-AU388</f>
        <v>0</v>
      </c>
      <c r="AY388" s="382">
        <f>AZ388+BA388</f>
        <v>0</v>
      </c>
      <c r="AZ388" s="382">
        <f>AT388</f>
        <v>0</v>
      </c>
      <c r="BA388" s="382"/>
      <c r="BB388" s="382">
        <f>BC388+BD388</f>
        <v>0</v>
      </c>
      <c r="BC388" s="382"/>
      <c r="BD388" s="382"/>
      <c r="BE388" s="382">
        <f>BF388+BG388</f>
        <v>20000.400000000001</v>
      </c>
      <c r="BF388" s="383">
        <f>BW388-BC388</f>
        <v>20000.400000000001</v>
      </c>
      <c r="BG388" s="383">
        <f>BX388-BD388</f>
        <v>0</v>
      </c>
      <c r="BH388" s="382">
        <f>BI388+BJ388</f>
        <v>0</v>
      </c>
      <c r="BI388" s="382">
        <f>BC388</f>
        <v>0</v>
      </c>
      <c r="BJ388" s="382"/>
      <c r="BK388" s="385"/>
      <c r="BL388" s="386"/>
      <c r="BM388" s="386"/>
      <c r="BN388" s="386"/>
      <c r="BO388" s="386"/>
      <c r="BP388" s="386"/>
      <c r="BQ388" s="386"/>
      <c r="BR388" s="386"/>
      <c r="BS388" s="386"/>
      <c r="BT388" s="386"/>
      <c r="BU388" s="386"/>
      <c r="BV388" s="382">
        <f>BW388+BX388</f>
        <v>20000.400000000001</v>
      </c>
      <c r="BW388" s="382">
        <v>20000.400000000001</v>
      </c>
      <c r="BX388" s="382">
        <v>0</v>
      </c>
      <c r="BY388" s="382">
        <f>BZ388+CA388</f>
        <v>-0.40000000000145519</v>
      </c>
      <c r="BZ388" s="383">
        <f>CC388-BW388</f>
        <v>-0.40000000000145519</v>
      </c>
      <c r="CA388" s="383">
        <f>CD388-BX388</f>
        <v>0</v>
      </c>
      <c r="CB388" s="382">
        <f>CC388+CD388</f>
        <v>20000</v>
      </c>
      <c r="CC388" s="382">
        <v>20000</v>
      </c>
      <c r="CD388" s="387">
        <v>0</v>
      </c>
      <c r="CE388" s="384"/>
      <c r="CF388" s="388"/>
      <c r="CG388" s="382"/>
      <c r="CH388" s="382">
        <f>CI388+CJ388</f>
        <v>-0.40000000000145519</v>
      </c>
      <c r="CI388" s="382">
        <f>BY388</f>
        <v>-0.40000000000145519</v>
      </c>
      <c r="CJ388" s="382"/>
      <c r="CK388" s="382">
        <f>CL388+CM388</f>
        <v>0.40000000000145519</v>
      </c>
      <c r="CL388" s="383">
        <f>CR388-CI388</f>
        <v>0.40000000000145519</v>
      </c>
      <c r="CM388" s="383">
        <f>CS388-CJ388</f>
        <v>0</v>
      </c>
      <c r="CN388" s="383"/>
      <c r="CO388" s="383"/>
      <c r="CP388" s="383"/>
      <c r="CQ388" s="382">
        <f>CR388+CS388</f>
        <v>0</v>
      </c>
      <c r="CR388" s="382">
        <f>CE388</f>
        <v>0</v>
      </c>
      <c r="CS388" s="382"/>
      <c r="CT388" s="382">
        <f>CU388+CV388</f>
        <v>0</v>
      </c>
      <c r="CU388" s="382">
        <v>0</v>
      </c>
      <c r="CV388" s="387">
        <v>0</v>
      </c>
      <c r="CW388" s="387">
        <f>CX388+CY388</f>
        <v>0</v>
      </c>
      <c r="CX388" s="387"/>
      <c r="CY388" s="387"/>
      <c r="CZ388" s="382">
        <f>DA388+DB388</f>
        <v>0.40000000000145519</v>
      </c>
      <c r="DA388" s="382">
        <f>CK388</f>
        <v>0.40000000000145519</v>
      </c>
      <c r="DB388" s="382"/>
      <c r="DC388" s="382"/>
      <c r="DD388" s="382"/>
      <c r="DE388" s="382"/>
      <c r="DF388" s="382"/>
      <c r="DG388" s="382"/>
      <c r="DH388" s="382"/>
      <c r="DI388" s="382"/>
      <c r="DJ388" s="382"/>
      <c r="DK388" s="382"/>
      <c r="DL388" s="382"/>
      <c r="DM388" s="382"/>
      <c r="DN388" s="382"/>
      <c r="DO388" s="382"/>
      <c r="DP388" s="382"/>
      <c r="DQ388" s="382"/>
      <c r="DR388" s="382"/>
      <c r="DS388" s="382"/>
      <c r="DT388" s="382"/>
      <c r="DU388" s="382"/>
      <c r="DV388" s="382"/>
      <c r="DW388" s="382"/>
      <c r="DX388" s="382">
        <f>DY388+DZ388</f>
        <v>0</v>
      </c>
      <c r="DY388" s="382">
        <f>CN388</f>
        <v>0</v>
      </c>
      <c r="DZ388" s="382"/>
      <c r="EA388" s="382"/>
      <c r="EB388" s="382"/>
      <c r="EC388" s="382"/>
      <c r="ED388" s="382"/>
      <c r="EE388" s="382"/>
      <c r="EF388" s="382"/>
      <c r="EG388" s="382"/>
      <c r="EH388" s="382"/>
      <c r="EI388" s="382"/>
      <c r="EJ388" s="382"/>
      <c r="EK388" s="382"/>
      <c r="EL388" s="382"/>
      <c r="EM388" s="382"/>
      <c r="EN388" s="382"/>
      <c r="EO388" s="382"/>
      <c r="EP388" s="382"/>
      <c r="EQ388" s="382"/>
      <c r="ER388" s="382"/>
      <c r="ES388" s="382"/>
      <c r="ET388" s="382"/>
      <c r="EU388" s="382"/>
      <c r="EV388" s="382"/>
      <c r="EW388" s="382"/>
      <c r="EX388" s="382"/>
      <c r="EY388" s="382"/>
      <c r="EZ388" s="382"/>
      <c r="FA388" s="382"/>
      <c r="FB388" s="382"/>
      <c r="FC388" s="382">
        <f>FD388</f>
        <v>3000</v>
      </c>
      <c r="FD388" s="382">
        <v>3000</v>
      </c>
      <c r="FE388" s="382"/>
      <c r="FF388" s="382"/>
      <c r="FG388" s="382"/>
      <c r="FH388" s="382"/>
      <c r="FI388" s="382"/>
      <c r="FJ388" s="382"/>
      <c r="FK388" s="382"/>
      <c r="FL388" s="382"/>
      <c r="FM388" s="382"/>
      <c r="FN388" s="382"/>
      <c r="FO388" s="382"/>
      <c r="FP388" s="382"/>
      <c r="FQ388" s="382"/>
      <c r="FR388" s="382"/>
      <c r="FS388" s="382">
        <f>FU388:FU389</f>
        <v>2610.3389999999999</v>
      </c>
      <c r="FT388" s="512" t="e">
        <f>FS388/EU388</f>
        <v>#DIV/0!</v>
      </c>
      <c r="FU388" s="382">
        <f>GC388</f>
        <v>2610.3389999999999</v>
      </c>
      <c r="FV388" s="512" t="e">
        <f>FU388/EV388</f>
        <v>#DIV/0!</v>
      </c>
      <c r="FW388" s="382"/>
      <c r="FX388" s="382"/>
      <c r="FY388" s="382"/>
      <c r="FZ388" s="382"/>
      <c r="GA388" s="382">
        <f>GC388+GE388+GG388</f>
        <v>2610.3389999999999</v>
      </c>
      <c r="GB388" s="512">
        <f>GA388/FC388</f>
        <v>0.87011300000000003</v>
      </c>
      <c r="GC388" s="382">
        <v>2610.3389999999999</v>
      </c>
      <c r="GD388" s="512">
        <f>GC388/FD388</f>
        <v>0.87011300000000003</v>
      </c>
      <c r="GE388" s="382"/>
      <c r="GF388" s="382"/>
      <c r="GG388" s="382"/>
      <c r="GH388" s="382"/>
      <c r="GI388" s="382">
        <f>GK388+GM388+GO388</f>
        <v>2610.3389999999999</v>
      </c>
      <c r="GJ388" s="512" t="e">
        <f>GI388/FK388</f>
        <v>#DIV/0!</v>
      </c>
      <c r="GK388" s="382">
        <f>GC388</f>
        <v>2610.3389999999999</v>
      </c>
      <c r="GL388" s="512" t="e">
        <f>GK388/FL388</f>
        <v>#DIV/0!</v>
      </c>
      <c r="GM388" s="382"/>
      <c r="GN388" s="382"/>
      <c r="GO388" s="382"/>
      <c r="GP388" s="382"/>
      <c r="GQ388" s="382"/>
      <c r="GR388" s="382"/>
      <c r="GS388" s="382"/>
      <c r="GT388" s="382"/>
      <c r="GU388" s="382"/>
      <c r="GV388" s="382"/>
      <c r="GW388" s="382"/>
      <c r="GX388" s="382"/>
      <c r="GY388" s="382"/>
      <c r="GZ388" s="382"/>
      <c r="HA388" s="382"/>
      <c r="HB388" s="382"/>
      <c r="HC388" s="382"/>
      <c r="HD388" s="382"/>
      <c r="HE388" s="382"/>
      <c r="HF388" s="382"/>
      <c r="HG388" s="382"/>
      <c r="HH388" s="382"/>
      <c r="HI388" s="382"/>
      <c r="HJ388" s="382"/>
      <c r="HK388" s="382"/>
      <c r="HL388" s="382"/>
      <c r="HM388" s="382"/>
      <c r="HN388" s="382"/>
      <c r="HO388" s="382"/>
      <c r="HP388" s="382"/>
      <c r="HQ388" s="382"/>
      <c r="HR388" s="382"/>
      <c r="HS388" s="382"/>
      <c r="HT388" s="382"/>
      <c r="HU388" s="382"/>
      <c r="HV388" s="382"/>
      <c r="HW388" s="382"/>
      <c r="HX388" s="382"/>
      <c r="HY388" s="382"/>
      <c r="HZ388" s="382"/>
      <c r="IA388" s="382"/>
      <c r="IB388" s="382"/>
      <c r="IC388" s="382"/>
      <c r="ID388" s="382"/>
      <c r="IE388" s="382"/>
      <c r="IF388" s="183"/>
      <c r="IG388" s="183"/>
      <c r="IH388" s="183"/>
    </row>
    <row r="389" spans="2:242" s="129" customFormat="1" ht="18" hidden="1" customHeight="1" x14ac:dyDescent="0.25">
      <c r="B389" s="500"/>
      <c r="C389" s="378" t="s">
        <v>465</v>
      </c>
      <c r="D389" s="501"/>
      <c r="E389" s="502"/>
      <c r="F389" s="502"/>
      <c r="G389" s="502"/>
      <c r="H389" s="502"/>
      <c r="I389" s="503"/>
      <c r="J389" s="503"/>
      <c r="K389" s="502"/>
      <c r="L389" s="502"/>
      <c r="M389" s="502"/>
      <c r="N389" s="502"/>
      <c r="O389" s="503"/>
      <c r="P389" s="503"/>
      <c r="Q389" s="504"/>
      <c r="R389" s="504"/>
      <c r="S389" s="504"/>
      <c r="T389" s="504"/>
      <c r="U389" s="504"/>
      <c r="V389" s="504"/>
      <c r="W389" s="504"/>
      <c r="X389" s="505"/>
      <c r="Y389" s="505"/>
      <c r="Z389" s="504"/>
      <c r="AA389" s="504"/>
      <c r="AB389" s="504"/>
      <c r="AC389" s="504"/>
      <c r="AD389" s="504"/>
      <c r="AE389" s="504"/>
      <c r="AF389" s="504"/>
      <c r="AG389" s="504"/>
      <c r="AH389" s="504"/>
      <c r="AI389" s="504"/>
      <c r="AJ389" s="504"/>
      <c r="AK389" s="504"/>
      <c r="AL389" s="504"/>
      <c r="AM389" s="504"/>
      <c r="AN389" s="504"/>
      <c r="AO389" s="506"/>
      <c r="AP389" s="504"/>
      <c r="AQ389" s="504"/>
      <c r="AR389" s="504"/>
      <c r="AS389" s="504"/>
      <c r="AT389" s="504"/>
      <c r="AU389" s="504"/>
      <c r="AV389" s="504"/>
      <c r="AW389" s="505"/>
      <c r="AX389" s="505"/>
      <c r="AY389" s="504"/>
      <c r="AZ389" s="504"/>
      <c r="BA389" s="504"/>
      <c r="BB389" s="504"/>
      <c r="BC389" s="504"/>
      <c r="BD389" s="504"/>
      <c r="BE389" s="504"/>
      <c r="BF389" s="505"/>
      <c r="BG389" s="505"/>
      <c r="BH389" s="504"/>
      <c r="BI389" s="504"/>
      <c r="BJ389" s="504"/>
      <c r="BK389" s="507"/>
      <c r="BL389" s="508"/>
      <c r="BM389" s="508"/>
      <c r="BN389" s="508"/>
      <c r="BO389" s="508"/>
      <c r="BP389" s="508"/>
      <c r="BQ389" s="508"/>
      <c r="BR389" s="508"/>
      <c r="BS389" s="508"/>
      <c r="BT389" s="508"/>
      <c r="BU389" s="508"/>
      <c r="BV389" s="504"/>
      <c r="BW389" s="504"/>
      <c r="BX389" s="504"/>
      <c r="BY389" s="504"/>
      <c r="BZ389" s="505"/>
      <c r="CA389" s="505"/>
      <c r="CB389" s="504"/>
      <c r="CC389" s="504"/>
      <c r="CD389" s="509"/>
      <c r="CE389" s="506"/>
      <c r="CF389" s="510"/>
      <c r="CG389" s="504"/>
      <c r="CH389" s="504"/>
      <c r="CI389" s="504"/>
      <c r="CJ389" s="504"/>
      <c r="CK389" s="504"/>
      <c r="CL389" s="505"/>
      <c r="CM389" s="505"/>
      <c r="CN389" s="505"/>
      <c r="CO389" s="505"/>
      <c r="CP389" s="505"/>
      <c r="CQ389" s="504"/>
      <c r="CR389" s="504"/>
      <c r="CS389" s="504"/>
      <c r="CT389" s="504"/>
      <c r="CU389" s="504"/>
      <c r="CV389" s="509"/>
      <c r="CW389" s="509"/>
      <c r="CX389" s="509"/>
      <c r="CY389" s="509"/>
      <c r="CZ389" s="504"/>
      <c r="DA389" s="504"/>
      <c r="DB389" s="504"/>
      <c r="DC389" s="504"/>
      <c r="DD389" s="504"/>
      <c r="DE389" s="504"/>
      <c r="DF389" s="504"/>
      <c r="DG389" s="504"/>
      <c r="DH389" s="504"/>
      <c r="DI389" s="504"/>
      <c r="DJ389" s="504"/>
      <c r="DK389" s="504"/>
      <c r="DL389" s="504"/>
      <c r="DM389" s="504"/>
      <c r="DN389" s="504"/>
      <c r="DO389" s="504"/>
      <c r="DP389" s="504"/>
      <c r="DQ389" s="504"/>
      <c r="DR389" s="504"/>
      <c r="DS389" s="504"/>
      <c r="DT389" s="504"/>
      <c r="DU389" s="504"/>
      <c r="DV389" s="504"/>
      <c r="DW389" s="504"/>
      <c r="DX389" s="504"/>
      <c r="DY389" s="504"/>
      <c r="DZ389" s="504"/>
      <c r="EA389" s="504"/>
      <c r="EB389" s="504"/>
      <c r="EC389" s="504"/>
      <c r="ED389" s="504"/>
      <c r="EE389" s="504"/>
      <c r="EF389" s="504"/>
      <c r="EG389" s="504"/>
      <c r="EH389" s="504"/>
      <c r="EI389" s="504"/>
      <c r="EJ389" s="504"/>
      <c r="EK389" s="504"/>
      <c r="EL389" s="504"/>
      <c r="EM389" s="504"/>
      <c r="EN389" s="504"/>
      <c r="EO389" s="504"/>
      <c r="EP389" s="504"/>
      <c r="EQ389" s="504"/>
      <c r="ER389" s="504"/>
      <c r="ES389" s="504"/>
      <c r="ET389" s="504"/>
      <c r="EU389" s="504"/>
      <c r="EV389" s="504"/>
      <c r="EW389" s="504"/>
      <c r="EX389" s="504"/>
      <c r="EY389" s="504"/>
      <c r="EZ389" s="504"/>
      <c r="FA389" s="504"/>
      <c r="FB389" s="504"/>
      <c r="FC389" s="382">
        <f>FD389</f>
        <v>238.13</v>
      </c>
      <c r="FD389" s="382">
        <v>238.13</v>
      </c>
      <c r="FE389" s="382"/>
      <c r="FF389" s="382"/>
      <c r="FG389" s="504"/>
      <c r="FH389" s="504"/>
      <c r="FI389" s="504"/>
      <c r="FJ389" s="504"/>
      <c r="FK389" s="504"/>
      <c r="FL389" s="504"/>
      <c r="FM389" s="504"/>
      <c r="FN389" s="504"/>
      <c r="FO389" s="504"/>
      <c r="FP389" s="382"/>
      <c r="FQ389" s="382"/>
      <c r="FR389" s="382"/>
      <c r="FS389" s="382">
        <f>FU389:FU390</f>
        <v>238.13</v>
      </c>
      <c r="FT389" s="512" t="e">
        <f>FS389/EU389</f>
        <v>#DIV/0!</v>
      </c>
      <c r="FU389" s="382">
        <f>GC389</f>
        <v>238.13</v>
      </c>
      <c r="FV389" s="512" t="e">
        <f>FU389/EV389</f>
        <v>#DIV/0!</v>
      </c>
      <c r="FW389" s="504"/>
      <c r="FX389" s="504"/>
      <c r="FY389" s="504"/>
      <c r="FZ389" s="504"/>
      <c r="GA389" s="382">
        <f>GC389+GE389+GG389</f>
        <v>238.13</v>
      </c>
      <c r="GB389" s="512">
        <f>GA389/FC389</f>
        <v>1</v>
      </c>
      <c r="GC389" s="504">
        <v>238.13</v>
      </c>
      <c r="GD389" s="512">
        <f>GC389/FD389</f>
        <v>1</v>
      </c>
      <c r="GE389" s="504"/>
      <c r="GF389" s="504"/>
      <c r="GG389" s="504"/>
      <c r="GH389" s="504"/>
      <c r="GI389" s="382">
        <f>GK389+GM389+GO389</f>
        <v>238.13</v>
      </c>
      <c r="GJ389" s="512" t="e">
        <f>GI389/FK389</f>
        <v>#DIV/0!</v>
      </c>
      <c r="GK389" s="382">
        <f>GC389</f>
        <v>238.13</v>
      </c>
      <c r="GL389" s="512" t="e">
        <f>GK389/FL389</f>
        <v>#DIV/0!</v>
      </c>
      <c r="GM389" s="504"/>
      <c r="GN389" s="504"/>
      <c r="GO389" s="504"/>
      <c r="GP389" s="504"/>
      <c r="GQ389" s="504"/>
      <c r="GR389" s="504"/>
      <c r="GS389" s="504"/>
      <c r="GT389" s="504"/>
      <c r="GU389" s="504"/>
      <c r="GV389" s="382"/>
      <c r="GW389" s="382"/>
      <c r="GX389" s="382"/>
      <c r="GY389" s="382"/>
      <c r="GZ389" s="382"/>
      <c r="HA389" s="382"/>
      <c r="HB389" s="382"/>
      <c r="HC389" s="382"/>
      <c r="HD389" s="382"/>
      <c r="HE389" s="382"/>
      <c r="HF389" s="382"/>
      <c r="HG389" s="504"/>
      <c r="HH389" s="382"/>
      <c r="HI389" s="382"/>
      <c r="HJ389" s="382"/>
      <c r="HK389" s="504"/>
      <c r="HL389" s="382"/>
      <c r="HM389" s="382"/>
      <c r="HN389" s="382"/>
      <c r="HO389" s="504"/>
      <c r="HP389" s="382"/>
      <c r="HQ389" s="382"/>
      <c r="HR389" s="382"/>
      <c r="HS389" s="504"/>
      <c r="HT389" s="382"/>
      <c r="HU389" s="382"/>
      <c r="HV389" s="382"/>
      <c r="HW389" s="504"/>
      <c r="HX389" s="382"/>
      <c r="HY389" s="382"/>
      <c r="HZ389" s="382"/>
      <c r="IA389" s="504"/>
      <c r="IB389" s="382"/>
      <c r="IC389" s="382"/>
      <c r="ID389" s="382"/>
      <c r="IE389" s="382"/>
      <c r="IF389" s="183"/>
      <c r="IG389" s="183"/>
      <c r="IH389" s="183"/>
    </row>
    <row r="390" spans="2:242" s="129" customFormat="1" ht="21" hidden="1" customHeight="1" thickBot="1" x14ac:dyDescent="0.3">
      <c r="B390" s="389"/>
      <c r="C390" s="378" t="s">
        <v>466</v>
      </c>
      <c r="D390" s="390" t="s">
        <v>456</v>
      </c>
      <c r="E390" s="391">
        <f>F390+G390</f>
        <v>760</v>
      </c>
      <c r="F390" s="391"/>
      <c r="G390" s="391">
        <v>760</v>
      </c>
      <c r="H390" s="391">
        <f>I390+J390</f>
        <v>5241.95</v>
      </c>
      <c r="I390" s="392">
        <f>L390-F390</f>
        <v>5020</v>
      </c>
      <c r="J390" s="392">
        <f>M390-G390</f>
        <v>221.95000000000005</v>
      </c>
      <c r="K390" s="391">
        <f>L390+M390</f>
        <v>6001.95</v>
      </c>
      <c r="L390" s="391">
        <v>5020</v>
      </c>
      <c r="M390" s="391">
        <f>760+207+14.95</f>
        <v>981.95</v>
      </c>
      <c r="N390" s="391">
        <f>O390+P390</f>
        <v>0</v>
      </c>
      <c r="O390" s="392">
        <f>R390-L390</f>
        <v>0</v>
      </c>
      <c r="P390" s="392">
        <f>S390-M390</f>
        <v>0</v>
      </c>
      <c r="Q390" s="393">
        <f>R390+S390</f>
        <v>6001.95</v>
      </c>
      <c r="R390" s="393">
        <v>5020</v>
      </c>
      <c r="S390" s="393">
        <f>760+207+14.95</f>
        <v>981.95</v>
      </c>
      <c r="T390" s="393">
        <f>U390+V390</f>
        <v>0</v>
      </c>
      <c r="U390" s="393"/>
      <c r="V390" s="393"/>
      <c r="W390" s="393" t="e">
        <f>X390+Y390</f>
        <v>#REF!</v>
      </c>
      <c r="X390" s="394" t="e">
        <f>AA390-U390</f>
        <v>#REF!</v>
      </c>
      <c r="Y390" s="394">
        <f>AB390-V390</f>
        <v>0</v>
      </c>
      <c r="Z390" s="393" t="e">
        <f>AA390+AB390</f>
        <v>#REF!</v>
      </c>
      <c r="AA390" s="393" t="e">
        <f>'[3]2017_с остатком на торги'!$AG$207</f>
        <v>#REF!</v>
      </c>
      <c r="AB390" s="393">
        <v>0</v>
      </c>
      <c r="AC390" s="393" t="e">
        <f>AD390+AE390</f>
        <v>#REF!</v>
      </c>
      <c r="AD390" s="393" t="e">
        <f>'[3]2017_с остатком на торги'!$AG$207</f>
        <v>#REF!</v>
      </c>
      <c r="AE390" s="393">
        <v>0</v>
      </c>
      <c r="AF390" s="393" t="e">
        <f>AG390+AH390</f>
        <v>#REF!</v>
      </c>
      <c r="AG390" s="393" t="e">
        <f>'[3]2017_с остатком на торги'!$AG$207</f>
        <v>#REF!</v>
      </c>
      <c r="AH390" s="393">
        <v>0</v>
      </c>
      <c r="AI390" s="393">
        <v>0</v>
      </c>
      <c r="AJ390" s="393">
        <v>0</v>
      </c>
      <c r="AK390" s="393" t="e">
        <f>Z390-AJ390</f>
        <v>#REF!</v>
      </c>
      <c r="AL390" s="393" t="e">
        <f>AF390-AJ390</f>
        <v>#REF!</v>
      </c>
      <c r="AM390" s="393"/>
      <c r="AN390" s="393"/>
      <c r="AO390" s="395"/>
      <c r="AP390" s="393"/>
      <c r="AQ390" s="393"/>
      <c r="AR390" s="393"/>
      <c r="AS390" s="393">
        <f>AT390+AU390</f>
        <v>0</v>
      </c>
      <c r="AT390" s="393">
        <f>AJ390</f>
        <v>0</v>
      </c>
      <c r="AU390" s="393"/>
      <c r="AV390" s="393">
        <f>AW390+AX390</f>
        <v>0</v>
      </c>
      <c r="AW390" s="394">
        <f>AZ390-AT390</f>
        <v>0</v>
      </c>
      <c r="AX390" s="394">
        <f>BA390-AU390</f>
        <v>0</v>
      </c>
      <c r="AY390" s="393">
        <f>AZ390+BA390</f>
        <v>0</v>
      </c>
      <c r="AZ390" s="393">
        <f>AT390</f>
        <v>0</v>
      </c>
      <c r="BA390" s="393"/>
      <c r="BB390" s="393">
        <f>BC390+BD390</f>
        <v>0</v>
      </c>
      <c r="BC390" s="393"/>
      <c r="BD390" s="393"/>
      <c r="BE390" s="393">
        <f>BF390+BG390</f>
        <v>0</v>
      </c>
      <c r="BF390" s="394">
        <f>BW390-BC390</f>
        <v>0</v>
      </c>
      <c r="BG390" s="394">
        <f>BX390-BD390</f>
        <v>0</v>
      </c>
      <c r="BH390" s="393">
        <f>BI390+BJ390</f>
        <v>0</v>
      </c>
      <c r="BI390" s="393">
        <f>BC390</f>
        <v>0</v>
      </c>
      <c r="BJ390" s="393"/>
      <c r="BK390" s="396"/>
      <c r="BL390" s="397"/>
      <c r="BM390" s="397"/>
      <c r="BN390" s="397"/>
      <c r="BO390" s="397"/>
      <c r="BP390" s="397"/>
      <c r="BQ390" s="397"/>
      <c r="BR390" s="397"/>
      <c r="BS390" s="397"/>
      <c r="BT390" s="397"/>
      <c r="BU390" s="397"/>
      <c r="BV390" s="393">
        <f>BW390+BX390</f>
        <v>0</v>
      </c>
      <c r="BW390" s="393"/>
      <c r="BX390" s="393"/>
      <c r="BY390" s="393">
        <f>BZ390+CA390</f>
        <v>0</v>
      </c>
      <c r="BZ390" s="394">
        <f>CC390-BW390</f>
        <v>0</v>
      </c>
      <c r="CA390" s="394">
        <f>CD390-BX390</f>
        <v>0</v>
      </c>
      <c r="CB390" s="393">
        <f>CC390+CD390</f>
        <v>0</v>
      </c>
      <c r="CC390" s="393"/>
      <c r="CD390" s="398"/>
      <c r="CE390" s="395"/>
      <c r="CF390" s="399"/>
      <c r="CG390" s="393"/>
      <c r="CH390" s="393">
        <f>CI390+CJ390</f>
        <v>0</v>
      </c>
      <c r="CI390" s="393">
        <f>BY390</f>
        <v>0</v>
      </c>
      <c r="CJ390" s="393"/>
      <c r="CK390" s="393">
        <f>CL390+CM390</f>
        <v>0</v>
      </c>
      <c r="CL390" s="394">
        <f>CR390-CI390</f>
        <v>0</v>
      </c>
      <c r="CM390" s="394">
        <f>CS390-CJ390</f>
        <v>0</v>
      </c>
      <c r="CN390" s="394"/>
      <c r="CO390" s="394"/>
      <c r="CP390" s="394"/>
      <c r="CQ390" s="393">
        <f>CR390+CS390</f>
        <v>0</v>
      </c>
      <c r="CR390" s="393">
        <f>CE390</f>
        <v>0</v>
      </c>
      <c r="CS390" s="393"/>
      <c r="CT390" s="393">
        <f>CU390+CV390</f>
        <v>0</v>
      </c>
      <c r="CU390" s="393"/>
      <c r="CV390" s="398"/>
      <c r="CW390" s="398"/>
      <c r="CX390" s="398"/>
      <c r="CY390" s="398"/>
      <c r="CZ390" s="393">
        <f>DA390+DB390</f>
        <v>0</v>
      </c>
      <c r="DA390" s="393">
        <f>CK390</f>
        <v>0</v>
      </c>
      <c r="DB390" s="393"/>
      <c r="DC390" s="393"/>
      <c r="DD390" s="393"/>
      <c r="DE390" s="393"/>
      <c r="DF390" s="393"/>
      <c r="DG390" s="393"/>
      <c r="DH390" s="393"/>
      <c r="DI390" s="393"/>
      <c r="DJ390" s="393"/>
      <c r="DK390" s="393"/>
      <c r="DL390" s="393"/>
      <c r="DM390" s="393"/>
      <c r="DN390" s="393"/>
      <c r="DO390" s="393"/>
      <c r="DP390" s="393"/>
      <c r="DQ390" s="393"/>
      <c r="DR390" s="393"/>
      <c r="DS390" s="393"/>
      <c r="DT390" s="393"/>
      <c r="DU390" s="393"/>
      <c r="DV390" s="393"/>
      <c r="DW390" s="393"/>
      <c r="DX390" s="393">
        <f>DY390+DZ390</f>
        <v>0</v>
      </c>
      <c r="DY390" s="393">
        <f>CN390</f>
        <v>0</v>
      </c>
      <c r="DZ390" s="393"/>
      <c r="EA390" s="393"/>
      <c r="EB390" s="393"/>
      <c r="EC390" s="393"/>
      <c r="ED390" s="393"/>
      <c r="EE390" s="393"/>
      <c r="EF390" s="393"/>
      <c r="EG390" s="393"/>
      <c r="EH390" s="393"/>
      <c r="EI390" s="393"/>
      <c r="EJ390" s="393"/>
      <c r="EK390" s="393"/>
      <c r="EL390" s="393"/>
      <c r="EM390" s="393"/>
      <c r="EN390" s="393"/>
      <c r="EO390" s="393"/>
      <c r="EP390" s="393"/>
      <c r="EQ390" s="393"/>
      <c r="ER390" s="393"/>
      <c r="ES390" s="393"/>
      <c r="ET390" s="393"/>
      <c r="EU390" s="393"/>
      <c r="EV390" s="393"/>
      <c r="EW390" s="393"/>
      <c r="EX390" s="393"/>
      <c r="EY390" s="393"/>
      <c r="EZ390" s="393"/>
      <c r="FA390" s="393"/>
      <c r="FB390" s="393"/>
      <c r="FC390" s="382">
        <f>FD390+FE390+FF390</f>
        <v>16761.87</v>
      </c>
      <c r="FD390" s="400">
        <v>16683.87</v>
      </c>
      <c r="FE390" s="400"/>
      <c r="FF390" s="400">
        <v>78</v>
      </c>
      <c r="FG390" s="393"/>
      <c r="FH390" s="393"/>
      <c r="FI390" s="393"/>
      <c r="FJ390" s="393"/>
      <c r="FK390" s="393"/>
      <c r="FL390" s="393"/>
      <c r="FM390" s="393"/>
      <c r="FN390" s="393"/>
      <c r="FO390" s="393"/>
      <c r="FP390" s="400"/>
      <c r="FQ390" s="400"/>
      <c r="FR390" s="400"/>
      <c r="FS390" s="382">
        <f>FU390:FU391</f>
        <v>1410.40095</v>
      </c>
      <c r="FT390" s="512" t="e">
        <f>FS390/EU390</f>
        <v>#DIV/0!</v>
      </c>
      <c r="FU390" s="382">
        <f>GC390</f>
        <v>1410.40095</v>
      </c>
      <c r="FV390" s="512" t="e">
        <f>FU390/EV390</f>
        <v>#DIV/0!</v>
      </c>
      <c r="FW390" s="393"/>
      <c r="FX390" s="393"/>
      <c r="FY390" s="393"/>
      <c r="FZ390" s="393"/>
      <c r="GA390" s="382">
        <f>GC390+GG390</f>
        <v>1488.40095</v>
      </c>
      <c r="GB390" s="512">
        <f>GA390/FC390</f>
        <v>8.8796831737747647E-2</v>
      </c>
      <c r="GC390" s="400">
        <v>1410.40095</v>
      </c>
      <c r="GD390" s="512">
        <f>GC390/FD390</f>
        <v>8.4536798116983655E-2</v>
      </c>
      <c r="GE390" s="400"/>
      <c r="GF390" s="400"/>
      <c r="GG390" s="400">
        <v>78</v>
      </c>
      <c r="GH390" s="400">
        <f>GG390/FF390</f>
        <v>1</v>
      </c>
      <c r="GI390" s="382">
        <f>GK390+GM390+GO390</f>
        <v>1410.40095</v>
      </c>
      <c r="GJ390" s="512" t="e">
        <f>GI390/FK390</f>
        <v>#DIV/0!</v>
      </c>
      <c r="GK390" s="382">
        <f>GC390</f>
        <v>1410.40095</v>
      </c>
      <c r="GL390" s="512" t="e">
        <f>GK390/FL390</f>
        <v>#DIV/0!</v>
      </c>
      <c r="GM390" s="393"/>
      <c r="GN390" s="393"/>
      <c r="GO390" s="393"/>
      <c r="GP390" s="393"/>
      <c r="GQ390" s="393"/>
      <c r="GR390" s="393"/>
      <c r="GS390" s="393"/>
      <c r="GT390" s="393"/>
      <c r="GU390" s="393"/>
      <c r="GV390" s="400"/>
      <c r="GW390" s="400"/>
      <c r="GX390" s="400"/>
      <c r="GY390" s="400"/>
      <c r="GZ390" s="400"/>
      <c r="HA390" s="400"/>
      <c r="HB390" s="400"/>
      <c r="HC390" s="400"/>
      <c r="HD390" s="400"/>
      <c r="HE390" s="400"/>
      <c r="HF390" s="400"/>
      <c r="HG390" s="393"/>
      <c r="HH390" s="400"/>
      <c r="HI390" s="400"/>
      <c r="HJ390" s="400"/>
      <c r="HK390" s="393"/>
      <c r="HL390" s="400"/>
      <c r="HM390" s="400"/>
      <c r="HN390" s="400"/>
      <c r="HO390" s="393"/>
      <c r="HP390" s="400"/>
      <c r="HQ390" s="400"/>
      <c r="HR390" s="400"/>
      <c r="HS390" s="393"/>
      <c r="HT390" s="400"/>
      <c r="HU390" s="400"/>
      <c r="HV390" s="400"/>
      <c r="HW390" s="393"/>
      <c r="HX390" s="400"/>
      <c r="HY390" s="400"/>
      <c r="HZ390" s="400"/>
      <c r="IA390" s="393"/>
      <c r="IB390" s="400"/>
      <c r="IC390" s="400"/>
      <c r="ID390" s="400"/>
      <c r="IE390" s="400"/>
      <c r="IF390" s="183"/>
      <c r="IG390" s="183"/>
      <c r="IH390" s="183"/>
    </row>
    <row r="391" spans="2:242" s="129" customFormat="1" ht="92.25" hidden="1" customHeight="1" thickBot="1" x14ac:dyDescent="0.3">
      <c r="B391" s="401" t="s">
        <v>87</v>
      </c>
      <c r="C391" s="747" t="s">
        <v>457</v>
      </c>
      <c r="D391" s="748"/>
      <c r="E391" s="402"/>
      <c r="F391" s="402"/>
      <c r="G391" s="402"/>
      <c r="H391" s="402"/>
      <c r="I391" s="403"/>
      <c r="J391" s="403"/>
      <c r="K391" s="402"/>
      <c r="L391" s="402"/>
      <c r="M391" s="402"/>
      <c r="N391" s="402"/>
      <c r="O391" s="403"/>
      <c r="P391" s="403"/>
      <c r="Q391" s="404"/>
      <c r="R391" s="404"/>
      <c r="S391" s="404"/>
      <c r="T391" s="404"/>
      <c r="U391" s="404"/>
      <c r="V391" s="404"/>
      <c r="W391" s="404"/>
      <c r="X391" s="405"/>
      <c r="Y391" s="405"/>
      <c r="Z391" s="404"/>
      <c r="AA391" s="404"/>
      <c r="AB391" s="404"/>
      <c r="AC391" s="404"/>
      <c r="AD391" s="404"/>
      <c r="AE391" s="404"/>
      <c r="AF391" s="404"/>
      <c r="AG391" s="404"/>
      <c r="AH391" s="404"/>
      <c r="AI391" s="404"/>
      <c r="AJ391" s="404"/>
      <c r="AK391" s="404"/>
      <c r="AL391" s="404"/>
      <c r="AM391" s="404"/>
      <c r="AN391" s="404"/>
      <c r="AO391" s="406"/>
      <c r="AP391" s="404"/>
      <c r="AQ391" s="404"/>
      <c r="AR391" s="404"/>
      <c r="AS391" s="404"/>
      <c r="AT391" s="404"/>
      <c r="AU391" s="404"/>
      <c r="AV391" s="404"/>
      <c r="AW391" s="405"/>
      <c r="AX391" s="405"/>
      <c r="AY391" s="404"/>
      <c r="AZ391" s="404"/>
      <c r="BA391" s="404"/>
      <c r="BB391" s="404"/>
      <c r="BC391" s="404"/>
      <c r="BD391" s="404"/>
      <c r="BE391" s="404"/>
      <c r="BF391" s="405"/>
      <c r="BG391" s="405"/>
      <c r="BH391" s="404"/>
      <c r="BI391" s="404"/>
      <c r="BJ391" s="404"/>
      <c r="BK391" s="407"/>
      <c r="BL391" s="408"/>
      <c r="BM391" s="408"/>
      <c r="BN391" s="408"/>
      <c r="BO391" s="408"/>
      <c r="BP391" s="408"/>
      <c r="BQ391" s="408"/>
      <c r="BR391" s="408"/>
      <c r="BS391" s="408"/>
      <c r="BT391" s="408"/>
      <c r="BU391" s="408"/>
      <c r="BV391" s="404"/>
      <c r="BW391" s="404"/>
      <c r="BX391" s="404"/>
      <c r="BY391" s="404"/>
      <c r="BZ391" s="405"/>
      <c r="CA391" s="405"/>
      <c r="CB391" s="404"/>
      <c r="CC391" s="404"/>
      <c r="CD391" s="409"/>
      <c r="CE391" s="406"/>
      <c r="CF391" s="410"/>
      <c r="CG391" s="404"/>
      <c r="CH391" s="404"/>
      <c r="CI391" s="404"/>
      <c r="CJ391" s="404"/>
      <c r="CK391" s="404"/>
      <c r="CL391" s="405"/>
      <c r="CM391" s="405"/>
      <c r="CN391" s="405"/>
      <c r="CO391" s="405"/>
      <c r="CP391" s="405"/>
      <c r="CQ391" s="404"/>
      <c r="CR391" s="404"/>
      <c r="CS391" s="404"/>
      <c r="CT391" s="404"/>
      <c r="CU391" s="404"/>
      <c r="CV391" s="409"/>
      <c r="CW391" s="411">
        <f>CX391</f>
        <v>248442.4</v>
      </c>
      <c r="CX391" s="411">
        <v>248442.4</v>
      </c>
      <c r="CY391" s="409"/>
      <c r="CZ391" s="404"/>
      <c r="DA391" s="404"/>
      <c r="DB391" s="404"/>
      <c r="DC391" s="404"/>
      <c r="DD391" s="404"/>
      <c r="DE391" s="404"/>
      <c r="DF391" s="411">
        <f>DG391</f>
        <v>-248442.4</v>
      </c>
      <c r="DG391" s="411">
        <f>DJ391-CX391</f>
        <v>-248442.4</v>
      </c>
      <c r="DH391" s="409"/>
      <c r="DI391" s="411">
        <f>DJ391</f>
        <v>0</v>
      </c>
      <c r="DJ391" s="411">
        <v>0</v>
      </c>
      <c r="DK391" s="409"/>
      <c r="DL391" s="404"/>
      <c r="DM391" s="404"/>
      <c r="DN391" s="409"/>
      <c r="DO391" s="404"/>
      <c r="DP391" s="404"/>
      <c r="DQ391" s="409"/>
      <c r="DR391" s="404"/>
      <c r="DS391" s="404"/>
      <c r="DT391" s="409"/>
      <c r="DU391" s="404"/>
      <c r="DV391" s="404"/>
      <c r="DW391" s="404"/>
      <c r="DX391" s="404"/>
      <c r="DY391" s="404"/>
      <c r="DZ391" s="404"/>
      <c r="EA391" s="404"/>
      <c r="EB391" s="404"/>
      <c r="EC391" s="404"/>
      <c r="ED391" s="404"/>
      <c r="EE391" s="404"/>
      <c r="EF391" s="409"/>
      <c r="EG391" s="404">
        <f>EH391+EI391+EJ391</f>
        <v>0</v>
      </c>
      <c r="EH391" s="404">
        <v>0</v>
      </c>
      <c r="EI391" s="409"/>
      <c r="EJ391" s="409"/>
      <c r="EK391" s="404"/>
      <c r="EL391" s="404"/>
      <c r="EM391" s="409"/>
      <c r="EN391" s="409"/>
      <c r="EO391" s="404"/>
      <c r="EP391" s="404"/>
      <c r="EQ391" s="409"/>
      <c r="ER391" s="409"/>
      <c r="ES391" s="404">
        <f>ET391+EU391+EV391</f>
        <v>0</v>
      </c>
      <c r="ET391" s="404"/>
      <c r="EU391" s="409"/>
      <c r="EV391" s="409"/>
      <c r="EW391" s="404"/>
      <c r="EX391" s="404"/>
      <c r="EY391" s="404"/>
      <c r="EZ391" s="404"/>
      <c r="FA391" s="404"/>
      <c r="FB391" s="409"/>
      <c r="FC391" s="412"/>
      <c r="FD391" s="413"/>
      <c r="FE391" s="413"/>
      <c r="FF391" s="414"/>
      <c r="FG391" s="404"/>
      <c r="FH391" s="404"/>
      <c r="FI391" s="409"/>
      <c r="FJ391" s="409"/>
      <c r="FK391" s="404"/>
      <c r="FL391" s="404"/>
      <c r="FM391" s="409"/>
      <c r="FN391" s="409"/>
      <c r="FO391" s="412"/>
      <c r="FP391" s="413"/>
      <c r="FQ391" s="413"/>
      <c r="FR391" s="414"/>
      <c r="FS391" s="484"/>
      <c r="FT391" s="484"/>
      <c r="FU391" s="484"/>
      <c r="FV391" s="484"/>
      <c r="FW391" s="484"/>
      <c r="FX391" s="484"/>
      <c r="FY391" s="484"/>
      <c r="FZ391" s="484"/>
      <c r="GA391" s="484"/>
      <c r="GB391" s="484"/>
      <c r="GC391" s="484"/>
      <c r="GD391" s="484"/>
      <c r="GE391" s="484"/>
      <c r="GF391" s="484"/>
      <c r="GG391" s="484"/>
      <c r="GH391" s="484"/>
      <c r="GI391" s="484"/>
      <c r="GJ391" s="484"/>
      <c r="GK391" s="484"/>
      <c r="GL391" s="484"/>
      <c r="GM391" s="484"/>
      <c r="GN391" s="484"/>
      <c r="GO391" s="484"/>
      <c r="GP391" s="484"/>
      <c r="GQ391" s="484"/>
      <c r="GR391" s="484"/>
      <c r="GS391" s="484"/>
      <c r="GT391" s="484"/>
      <c r="GU391" s="412"/>
      <c r="GV391" s="413"/>
      <c r="GW391" s="413"/>
      <c r="GX391" s="414"/>
      <c r="GY391" s="393"/>
      <c r="GZ391" s="393"/>
      <c r="HA391" s="393"/>
      <c r="HB391" s="393"/>
      <c r="HC391" s="393"/>
      <c r="HD391" s="393"/>
      <c r="HE391" s="393"/>
      <c r="HF391" s="393"/>
      <c r="HG391" s="412"/>
      <c r="HH391" s="413"/>
      <c r="HI391" s="413"/>
      <c r="HJ391" s="414"/>
      <c r="HK391" s="412"/>
      <c r="HL391" s="413"/>
      <c r="HM391" s="413"/>
      <c r="HN391" s="414"/>
      <c r="HO391" s="412"/>
      <c r="HP391" s="413"/>
      <c r="HQ391" s="413"/>
      <c r="HR391" s="414"/>
      <c r="HS391" s="412"/>
      <c r="HT391" s="413"/>
      <c r="HU391" s="413"/>
      <c r="HV391" s="414"/>
      <c r="HW391" s="412"/>
      <c r="HX391" s="413"/>
      <c r="HY391" s="413"/>
      <c r="HZ391" s="414"/>
      <c r="IA391" s="412"/>
      <c r="IB391" s="413"/>
      <c r="IC391" s="413"/>
      <c r="ID391" s="414"/>
      <c r="IE391" s="400"/>
      <c r="IF391" s="183"/>
      <c r="IG391" s="183"/>
      <c r="IH391" s="183"/>
    </row>
    <row r="392" spans="2:242" s="142" customFormat="1" ht="45.75" hidden="1" customHeight="1" x14ac:dyDescent="0.2">
      <c r="B392" s="749" t="s">
        <v>117</v>
      </c>
      <c r="C392" s="750"/>
      <c r="D392" s="415"/>
      <c r="E392" s="416" t="e">
        <f>E355+E361+#REF!+#REF!+E387</f>
        <v>#REF!</v>
      </c>
      <c r="F392" s="416" t="e">
        <f>F355+F361+#REF!+#REF!+F387</f>
        <v>#REF!</v>
      </c>
      <c r="G392" s="416" t="e">
        <f>G355+G361+#REF!+#REF!+G387</f>
        <v>#REF!</v>
      </c>
      <c r="H392" s="416" t="e">
        <f>H355+H361+#REF!+#REF!+H387</f>
        <v>#REF!</v>
      </c>
      <c r="I392" s="416" t="e">
        <f>I355+I361+#REF!+#REF!+I387</f>
        <v>#REF!</v>
      </c>
      <c r="J392" s="416" t="e">
        <f>J355+J361+#REF!+#REF!+J387</f>
        <v>#REF!</v>
      </c>
      <c r="K392" s="416" t="e">
        <f>K355+K361+#REF!+#REF!+K387</f>
        <v>#REF!</v>
      </c>
      <c r="L392" s="416" t="e">
        <f>L355+L361+#REF!+#REF!+L387</f>
        <v>#REF!</v>
      </c>
      <c r="M392" s="416" t="e">
        <f>M355+M361+#REF!+#REF!+M387</f>
        <v>#REF!</v>
      </c>
      <c r="N392" s="416" t="e">
        <f>N355+N361+#REF!+#REF!+N387</f>
        <v>#REF!</v>
      </c>
      <c r="O392" s="416" t="e">
        <f>O355+O361+#REF!+#REF!+O387</f>
        <v>#REF!</v>
      </c>
      <c r="P392" s="416" t="e">
        <f>P355+P361+#REF!+#REF!+P387</f>
        <v>#REF!</v>
      </c>
      <c r="Q392" s="417" t="e">
        <f>Q355+Q361+#REF!+#REF!+Q387</f>
        <v>#REF!</v>
      </c>
      <c r="R392" s="417" t="e">
        <f>R355+R361+#REF!+#REF!+R387</f>
        <v>#REF!</v>
      </c>
      <c r="S392" s="417" t="e">
        <f>S355+S361+#REF!+#REF!+S387</f>
        <v>#REF!</v>
      </c>
      <c r="T392" s="417" t="e">
        <f>T355+T361+#REF!+#REF!+T387</f>
        <v>#REF!</v>
      </c>
      <c r="U392" s="417" t="e">
        <f>U355+U361+#REF!+#REF!+U387</f>
        <v>#REF!</v>
      </c>
      <c r="V392" s="417" t="e">
        <f>V355+V361+#REF!+#REF!+V387</f>
        <v>#REF!</v>
      </c>
      <c r="W392" s="417" t="e">
        <f>W355+W361+#REF!+#REF!+W387</f>
        <v>#REF!</v>
      </c>
      <c r="X392" s="417" t="e">
        <f>X355+X361+#REF!+#REF!+X387</f>
        <v>#REF!</v>
      </c>
      <c r="Y392" s="417" t="e">
        <f>Y355+Y361+#REF!+#REF!+Y387</f>
        <v>#REF!</v>
      </c>
      <c r="Z392" s="417" t="e">
        <f>Z355+Z361+#REF!+#REF!+Z387</f>
        <v>#REF!</v>
      </c>
      <c r="AA392" s="417" t="e">
        <f>AA355+AA361+#REF!+#REF!+AA387</f>
        <v>#REF!</v>
      </c>
      <c r="AB392" s="417" t="e">
        <f>AB355+AB361+#REF!+#REF!+AB387</f>
        <v>#REF!</v>
      </c>
      <c r="AC392" s="417" t="e">
        <f>AC355+AC361+#REF!+#REF!+AC387</f>
        <v>#REF!</v>
      </c>
      <c r="AD392" s="417" t="e">
        <f>AD355+AD361+#REF!+#REF!+AD387</f>
        <v>#REF!</v>
      </c>
      <c r="AE392" s="417" t="e">
        <f>AE355+AE361+#REF!+#REF!+AE387</f>
        <v>#REF!</v>
      </c>
      <c r="AF392" s="417" t="e">
        <f>AF355+AF361+#REF!+#REF!+AF387</f>
        <v>#REF!</v>
      </c>
      <c r="AG392" s="417" t="e">
        <f>AG355+AG361+#REF!+#REF!+AG387</f>
        <v>#REF!</v>
      </c>
      <c r="AH392" s="417" t="e">
        <f>AH355+AH361+#REF!+#REF!+AH387</f>
        <v>#REF!</v>
      </c>
      <c r="AI392" s="417" t="e">
        <f>AI355+AI361+#REF!+#REF!+AI387</f>
        <v>#REF!</v>
      </c>
      <c r="AJ392" s="417" t="e">
        <f>AJ355+AJ361+#REF!+#REF!+AJ387</f>
        <v>#REF!</v>
      </c>
      <c r="AK392" s="417" t="e">
        <f>AK355+AK361+#REF!+#REF!+AK387</f>
        <v>#REF!</v>
      </c>
      <c r="AL392" s="417" t="e">
        <f>AL355+AL361+#REF!+#REF!+AL387</f>
        <v>#REF!</v>
      </c>
      <c r="AM392" s="417" t="e">
        <f>AM355+AM361+#REF!+#REF!+AM387</f>
        <v>#REF!</v>
      </c>
      <c r="AN392" s="417" t="e">
        <f>AN355+AN361+#REF!+#REF!+AN387</f>
        <v>#REF!</v>
      </c>
      <c r="AO392" s="384">
        <v>1</v>
      </c>
      <c r="AP392" s="417" t="e">
        <f>AP355+AP361+#REF!+#REF!+AP387</f>
        <v>#REF!</v>
      </c>
      <c r="AQ392" s="417" t="e">
        <f>AQ355+AQ361+#REF!+#REF!+AQ387</f>
        <v>#REF!</v>
      </c>
      <c r="AR392" s="417" t="e">
        <f>AR355+AR361+#REF!+#REF!+AR387</f>
        <v>#REF!</v>
      </c>
      <c r="AS392" s="417" t="e">
        <f>AS355+AS361+#REF!+#REF!+AS387</f>
        <v>#REF!</v>
      </c>
      <c r="AT392" s="417" t="e">
        <f>AT355+AT361+#REF!+#REF!+AT387</f>
        <v>#REF!</v>
      </c>
      <c r="AU392" s="417" t="e">
        <f>AU355+AU361+#REF!+#REF!+AU387</f>
        <v>#REF!</v>
      </c>
      <c r="AV392" s="417" t="e">
        <f>AV355+AV361+#REF!+#REF!+AV387</f>
        <v>#REF!</v>
      </c>
      <c r="AW392" s="417" t="e">
        <f>AW355+AW361+#REF!+#REF!+AW387</f>
        <v>#REF!</v>
      </c>
      <c r="AX392" s="417" t="e">
        <f>AX355+AX361+#REF!+#REF!+AX387</f>
        <v>#REF!</v>
      </c>
      <c r="AY392" s="417" t="e">
        <f>AY355+AY361+#REF!+#REF!+AY387</f>
        <v>#REF!</v>
      </c>
      <c r="AZ392" s="417" t="e">
        <f>AZ355+AZ361+#REF!+#REF!+AZ387</f>
        <v>#REF!</v>
      </c>
      <c r="BA392" s="417" t="e">
        <f>BA355+BA361+#REF!+#REF!+BA387</f>
        <v>#REF!</v>
      </c>
      <c r="BB392" s="417" t="e">
        <f>BB355+BB361+#REF!+#REF!+BB387</f>
        <v>#REF!</v>
      </c>
      <c r="BC392" s="417" t="e">
        <f>BC355+BC361+#REF!+#REF!+BC387</f>
        <v>#REF!</v>
      </c>
      <c r="BD392" s="417" t="e">
        <f>BD355+BD361+#REF!+#REF!+BD387</f>
        <v>#REF!</v>
      </c>
      <c r="BE392" s="417" t="e">
        <f>BE355+BE361+#REF!+#REF!+BE387</f>
        <v>#REF!</v>
      </c>
      <c r="BF392" s="417" t="e">
        <f>BF355+BF361+#REF!+#REF!+BF387</f>
        <v>#REF!</v>
      </c>
      <c r="BG392" s="417" t="e">
        <f>BG355+BG361+#REF!+#REF!+BG387</f>
        <v>#REF!</v>
      </c>
      <c r="BH392" s="417" t="e">
        <f>BH355+BH361+#REF!+#REF!+BH387</f>
        <v>#REF!</v>
      </c>
      <c r="BI392" s="417" t="e">
        <f>BI355+BI361+#REF!+#REF!+BI387</f>
        <v>#REF!</v>
      </c>
      <c r="BJ392" s="417" t="e">
        <f>BJ355+BJ361+#REF!+#REF!+BJ387</f>
        <v>#REF!</v>
      </c>
      <c r="BK392" s="385">
        <v>1</v>
      </c>
      <c r="BL392" s="417" t="e">
        <f>BL355+BL361+#REF!+#REF!+BL387</f>
        <v>#REF!</v>
      </c>
      <c r="BM392" s="417" t="e">
        <f>BM355+BM361+#REF!+#REF!+BM387</f>
        <v>#REF!</v>
      </c>
      <c r="BN392" s="417" t="e">
        <f>BN355+BN361+#REF!+#REF!+BN387</f>
        <v>#REF!</v>
      </c>
      <c r="BO392" s="417" t="e">
        <f>BO355+BO361+#REF!+#REF!+BO387</f>
        <v>#REF!</v>
      </c>
      <c r="BP392" s="417" t="e">
        <f>BP355+BP361+#REF!+#REF!+BP387</f>
        <v>#REF!</v>
      </c>
      <c r="BQ392" s="417" t="e">
        <f>BQ355+BQ361+#REF!+#REF!+BQ387</f>
        <v>#REF!</v>
      </c>
      <c r="BR392" s="417" t="e">
        <f>BR355+BR361+#REF!+#REF!+BR387</f>
        <v>#REF!</v>
      </c>
      <c r="BS392" s="417" t="e">
        <f>BS355+BS361+#REF!+#REF!+BS387</f>
        <v>#REF!</v>
      </c>
      <c r="BT392" s="417" t="e">
        <f>BT355+BT361+#REF!+#REF!+BT387</f>
        <v>#REF!</v>
      </c>
      <c r="BU392" s="417" t="e">
        <f>BU355+BU361+#REF!+#REF!+BU387</f>
        <v>#REF!</v>
      </c>
      <c r="BV392" s="417" t="e">
        <f>BV355+BV361+#REF!+#REF!+BV387</f>
        <v>#REF!</v>
      </c>
      <c r="BW392" s="417" t="e">
        <f>BW355+BW361+#REF!+#REF!+BW387</f>
        <v>#REF!</v>
      </c>
      <c r="BX392" s="417" t="e">
        <f>BX355+BX361+#REF!+#REF!+BX387</f>
        <v>#REF!</v>
      </c>
      <c r="BY392" s="417" t="e">
        <f>BY355+BY361+#REF!+#REF!+BY387</f>
        <v>#REF!</v>
      </c>
      <c r="BZ392" s="417" t="e">
        <f>BZ355+BZ361+#REF!+#REF!+BZ387</f>
        <v>#REF!</v>
      </c>
      <c r="CA392" s="417" t="e">
        <f>CA355+CA361+#REF!+#REF!+CA387</f>
        <v>#REF!</v>
      </c>
      <c r="CB392" s="417" t="e">
        <f>CB355+CB361+#REF!+#REF!+CB387</f>
        <v>#REF!</v>
      </c>
      <c r="CC392" s="417" t="e">
        <f>CC355+CC361+#REF!+#REF!+CC387</f>
        <v>#REF!</v>
      </c>
      <c r="CD392" s="418" t="e">
        <f>CD355+CD361+#REF!+#REF!+CD387</f>
        <v>#REF!</v>
      </c>
      <c r="CE392" s="384">
        <v>1</v>
      </c>
      <c r="CF392" s="419" t="e">
        <f>CF355+CF361+#REF!+#REF!+CF387</f>
        <v>#REF!</v>
      </c>
      <c r="CG392" s="417"/>
      <c r="CH392" s="417" t="e">
        <f>CH355+CH361+#REF!+#REF!+CH387</f>
        <v>#REF!</v>
      </c>
      <c r="CI392" s="417" t="e">
        <f>CI355+CI361+#REF!+#REF!+CI387</f>
        <v>#REF!</v>
      </c>
      <c r="CJ392" s="417" t="e">
        <f>CJ355+CJ361+#REF!+#REF!+CJ387</f>
        <v>#REF!</v>
      </c>
      <c r="CK392" s="417" t="e">
        <f>CK355+CK361+#REF!+#REF!+CK387</f>
        <v>#REF!</v>
      </c>
      <c r="CL392" s="417" t="e">
        <f>CL355+CL361+#REF!+#REF!+CL387</f>
        <v>#REF!</v>
      </c>
      <c r="CM392" s="417" t="e">
        <f>CM355+CM361+#REF!+#REF!+CM387</f>
        <v>#REF!</v>
      </c>
      <c r="CN392" s="417"/>
      <c r="CO392" s="417"/>
      <c r="CP392" s="417"/>
      <c r="CQ392" s="417" t="e">
        <f>CQ355+CQ361+#REF!+#REF!+CQ387</f>
        <v>#REF!</v>
      </c>
      <c r="CR392" s="417" t="e">
        <f>CR355+CR361+#REF!+#REF!+CR387</f>
        <v>#REF!</v>
      </c>
      <c r="CS392" s="417" t="e">
        <f>CS355+CS361+#REF!+#REF!+CS387</f>
        <v>#REF!</v>
      </c>
      <c r="CT392" s="417" t="e">
        <f>CT355+CT361+#REF!+#REF!+CT387</f>
        <v>#REF!</v>
      </c>
      <c r="CU392" s="417" t="e">
        <f>CU355+CU361+#REF!+#REF!+CU387</f>
        <v>#REF!</v>
      </c>
      <c r="CV392" s="418" t="e">
        <f>CV355+CV361+#REF!+#REF!+CV387</f>
        <v>#REF!</v>
      </c>
      <c r="CW392" s="417" t="e">
        <f>CW355+CW361+#REF!+CW387+CW391</f>
        <v>#REF!</v>
      </c>
      <c r="CX392" s="417" t="e">
        <f>CX355+CX361+#REF!+CX387+CX391</f>
        <v>#REF!</v>
      </c>
      <c r="CY392" s="417" t="e">
        <f>CY355+CY361+#REF!+CY387+CY391</f>
        <v>#REF!</v>
      </c>
      <c r="CZ392" s="417" t="e">
        <f>CZ355+CZ361+#REF!+CZ387+CZ391</f>
        <v>#REF!</v>
      </c>
      <c r="DA392" s="417" t="e">
        <f>DA355+DA361+#REF!+DA387+DA391</f>
        <v>#REF!</v>
      </c>
      <c r="DB392" s="417" t="e">
        <f>DB355+DB361+#REF!+DB387+DB391</f>
        <v>#REF!</v>
      </c>
      <c r="DC392" s="417" t="e">
        <f>DC355+DC361+#REF!+DC387+DC391</f>
        <v>#REF!</v>
      </c>
      <c r="DD392" s="417" t="e">
        <f>DD355+DD361+#REF!+DD387+DD391</f>
        <v>#REF!</v>
      </c>
      <c r="DE392" s="417" t="e">
        <f>DE355+DE361+#REF!+DE387+DE391</f>
        <v>#REF!</v>
      </c>
      <c r="DF392" s="417" t="e">
        <f>DF355+DF361+#REF!+DF387+DF391</f>
        <v>#REF!</v>
      </c>
      <c r="DG392" s="417" t="e">
        <f>DG355+DG361+#REF!+DG387+DG391</f>
        <v>#REF!</v>
      </c>
      <c r="DH392" s="417" t="e">
        <f>DH355+DH361+#REF!+DH387+DH391</f>
        <v>#REF!</v>
      </c>
      <c r="DI392" s="417" t="e">
        <f>DI355+DI361+#REF!+DI387+DI391</f>
        <v>#REF!</v>
      </c>
      <c r="DJ392" s="417" t="e">
        <f>DJ355+DJ361+#REF!+DJ387+DJ391</f>
        <v>#REF!</v>
      </c>
      <c r="DK392" s="417" t="e">
        <f>DK355+DK361+#REF!+DK387+DK391</f>
        <v>#REF!</v>
      </c>
      <c r="DL392" s="417" t="e">
        <f>DL355+DL361+#REF!+DL387+DL391</f>
        <v>#REF!</v>
      </c>
      <c r="DM392" s="417" t="e">
        <f>DM355+DM361+#REF!+DM387+DM391</f>
        <v>#REF!</v>
      </c>
      <c r="DN392" s="417" t="e">
        <f>DN355+DN361+#REF!+DN387+DN391</f>
        <v>#REF!</v>
      </c>
      <c r="DO392" s="417" t="e">
        <f>DO355+DO361+#REF!+DO387+DO391</f>
        <v>#REF!</v>
      </c>
      <c r="DP392" s="417" t="e">
        <f>DP355+DP361+#REF!+DP387+DP391</f>
        <v>#REF!</v>
      </c>
      <c r="DQ392" s="417" t="e">
        <f>DQ355+DQ361+#REF!+DQ387+DQ391</f>
        <v>#REF!</v>
      </c>
      <c r="DR392" s="417" t="e">
        <f>DR355+DR361+#REF!+DR387+DR391</f>
        <v>#REF!</v>
      </c>
      <c r="DS392" s="417" t="e">
        <f>DS355+DS361+#REF!+DS387+DS391</f>
        <v>#REF!</v>
      </c>
      <c r="DT392" s="417" t="e">
        <f>DT355+DT361+#REF!+DT387+DT391</f>
        <v>#REF!</v>
      </c>
      <c r="DU392" s="417" t="e">
        <f>DU355+DU361+#REF!+DU387+DU391</f>
        <v>#REF!</v>
      </c>
      <c r="DV392" s="417" t="e">
        <f>DV355+DV361+#REF!+DV387+DV391</f>
        <v>#REF!</v>
      </c>
      <c r="DW392" s="417" t="e">
        <f>DW355+DW361+#REF!+DW387+DW391</f>
        <v>#REF!</v>
      </c>
      <c r="DX392" s="417" t="e">
        <f>DX355+DX361+#REF!+DX387+DX391</f>
        <v>#REF!</v>
      </c>
      <c r="DY392" s="417" t="e">
        <f>DY355+DY361+#REF!+DY387+DY391</f>
        <v>#REF!</v>
      </c>
      <c r="DZ392" s="417" t="e">
        <f>DZ355+DZ361+#REF!+DZ387+DZ391</f>
        <v>#REF!</v>
      </c>
      <c r="EA392" s="417" t="e">
        <f>EA355+EA361+#REF!+EA387+EA391</f>
        <v>#REF!</v>
      </c>
      <c r="EB392" s="417" t="e">
        <f>EB355+EB361+#REF!+EB387+EB391</f>
        <v>#REF!</v>
      </c>
      <c r="EC392" s="417" t="e">
        <f>EC355+EC361+#REF!+EC387+EC391</f>
        <v>#REF!</v>
      </c>
      <c r="ED392" s="417" t="e">
        <f>ED355+ED361+#REF!+ED387+ED391</f>
        <v>#REF!</v>
      </c>
      <c r="EE392" s="417" t="e">
        <f>EE355+EE361+#REF!+EE387+EE391</f>
        <v>#REF!</v>
      </c>
      <c r="EF392" s="417" t="e">
        <f>EF355+EF361+#REF!+EF387+EF391</f>
        <v>#REF!</v>
      </c>
      <c r="EG392" s="417" t="e">
        <f>EG355+EG361+#REF!+EG387+EG391</f>
        <v>#REF!</v>
      </c>
      <c r="EH392" s="417" t="e">
        <f>EH355+EH361+#REF!+EH387+EH391</f>
        <v>#REF!</v>
      </c>
      <c r="EI392" s="417" t="e">
        <f>EI355+EI361+#REF!+EI387+EI391</f>
        <v>#REF!</v>
      </c>
      <c r="EJ392" s="417" t="e">
        <f>EJ355+EJ361+#REF!+EJ387+EJ391</f>
        <v>#REF!</v>
      </c>
      <c r="EK392" s="417" t="e">
        <f>EK355+EK361+#REF!+EK387+EK391</f>
        <v>#REF!</v>
      </c>
      <c r="EL392" s="417" t="e">
        <f>EL355+EL361+#REF!+EL387+EL391</f>
        <v>#REF!</v>
      </c>
      <c r="EM392" s="417" t="e">
        <f>EM355+EM361+#REF!+EM387+EM391</f>
        <v>#REF!</v>
      </c>
      <c r="EN392" s="417" t="e">
        <f>EN355+EN361+#REF!+EN387+EN391</f>
        <v>#REF!</v>
      </c>
      <c r="EO392" s="417" t="e">
        <f>EO355+EO361+#REF!+EO387+EO391</f>
        <v>#REF!</v>
      </c>
      <c r="EP392" s="417" t="e">
        <f>EP355+EP361+#REF!+EP387+EP391</f>
        <v>#REF!</v>
      </c>
      <c r="EQ392" s="417" t="e">
        <f>EQ355+EQ361+#REF!+EQ387+EQ391</f>
        <v>#REF!</v>
      </c>
      <c r="ER392" s="417" t="e">
        <f>ER355+ER361+#REF!+ER387+ER391</f>
        <v>#REF!</v>
      </c>
      <c r="ES392" s="417" t="e">
        <f>ES355+ES361+#REF!+ES387+ES391</f>
        <v>#REF!</v>
      </c>
      <c r="ET392" s="417" t="e">
        <f>ET355+ET361+#REF!+ET387+ET391</f>
        <v>#REF!</v>
      </c>
      <c r="EU392" s="417" t="e">
        <f>EU355+EU361+#REF!+EU387+EU391</f>
        <v>#REF!</v>
      </c>
      <c r="EV392" s="417" t="e">
        <f>EV355+EV361+#REF!+EV387+EV391</f>
        <v>#REF!</v>
      </c>
      <c r="EW392" s="417" t="e">
        <f>EW355+EW361+#REF!+EW387+EW391</f>
        <v>#REF!</v>
      </c>
      <c r="EX392" s="417" t="e">
        <f>EX355+EX361+#REF!+EX387+EX391</f>
        <v>#REF!</v>
      </c>
      <c r="EY392" s="417" t="e">
        <f>EY355+EY361+#REF!+EY387+EY391</f>
        <v>#REF!</v>
      </c>
      <c r="EZ392" s="417" t="e">
        <f>EZ355+EZ361+#REF!+EZ387+EZ391</f>
        <v>#REF!</v>
      </c>
      <c r="FA392" s="417" t="e">
        <f>FA355+FA361+#REF!+FA387+FA391</f>
        <v>#REF!</v>
      </c>
      <c r="FB392" s="417" t="e">
        <f>FB355+FB361+#REF!+FB387+FB391</f>
        <v>#REF!</v>
      </c>
      <c r="FC392" s="417" t="e">
        <f>FC355+FC361+#REF!+FC387+FC391</f>
        <v>#REF!</v>
      </c>
      <c r="FD392" s="417" t="e">
        <f>FD355+FD361+#REF!+FD387+FD391</f>
        <v>#REF!</v>
      </c>
      <c r="FE392" s="417" t="e">
        <f>FE355+FE361+#REF!+FE387+FE391</f>
        <v>#REF!</v>
      </c>
      <c r="FF392" s="417" t="e">
        <f>FF355+FF361+#REF!+FF387+FF391</f>
        <v>#REF!</v>
      </c>
      <c r="FG392" s="417" t="e">
        <f>FG355+FG361+#REF!+FG387+FG391</f>
        <v>#REF!</v>
      </c>
      <c r="FH392" s="417" t="e">
        <f>FH355+FH361+#REF!+FH387+FH391</f>
        <v>#REF!</v>
      </c>
      <c r="FI392" s="417" t="e">
        <f>FI355+FI361+#REF!+FI387+FI391</f>
        <v>#REF!</v>
      </c>
      <c r="FJ392" s="417" t="e">
        <f>FJ355+FJ361+#REF!+FJ387+FJ391</f>
        <v>#REF!</v>
      </c>
      <c r="FK392" s="417" t="e">
        <f>FK355+FK361+#REF!+FK387+FK391</f>
        <v>#REF!</v>
      </c>
      <c r="FL392" s="417" t="e">
        <f>FL355+FL361+#REF!+FL387+FL391</f>
        <v>#REF!</v>
      </c>
      <c r="FM392" s="417" t="e">
        <f>FM355+FM361+#REF!+FM387+FM391</f>
        <v>#REF!</v>
      </c>
      <c r="FN392" s="417" t="e">
        <f>FN355+FN361+#REF!+FN387+FN391</f>
        <v>#REF!</v>
      </c>
      <c r="FO392" s="417" t="e">
        <f>FO355+FO361+#REF!+FO387+FO391</f>
        <v>#REF!</v>
      </c>
      <c r="FP392" s="417" t="e">
        <f>FP355+FP361+#REF!+FP387+FP391</f>
        <v>#REF!</v>
      </c>
      <c r="FQ392" s="417" t="e">
        <f>FQ355+FQ361+#REF!+FQ387+FQ391</f>
        <v>#REF!</v>
      </c>
      <c r="FR392" s="417" t="e">
        <f>FR355+FR361+#REF!+FR387+FR391</f>
        <v>#REF!</v>
      </c>
      <c r="FS392" s="417"/>
      <c r="FT392" s="417"/>
      <c r="FU392" s="417"/>
      <c r="FV392" s="417"/>
      <c r="FW392" s="417"/>
      <c r="FX392" s="417"/>
      <c r="FY392" s="417"/>
      <c r="FZ392" s="417"/>
      <c r="GA392" s="417"/>
      <c r="GB392" s="417"/>
      <c r="GC392" s="417"/>
      <c r="GD392" s="417"/>
      <c r="GE392" s="417"/>
      <c r="GF392" s="417"/>
      <c r="GG392" s="417"/>
      <c r="GH392" s="417"/>
      <c r="GI392" s="417"/>
      <c r="GJ392" s="417"/>
      <c r="GK392" s="417"/>
      <c r="GL392" s="417"/>
      <c r="GM392" s="417"/>
      <c r="GN392" s="417"/>
      <c r="GO392" s="417"/>
      <c r="GP392" s="417"/>
      <c r="GQ392" s="417"/>
      <c r="GR392" s="417"/>
      <c r="GS392" s="417"/>
      <c r="GT392" s="417"/>
      <c r="GU392" s="417" t="e">
        <f>GU355+GU361+#REF!+GU387+GU391</f>
        <v>#REF!</v>
      </c>
      <c r="GV392" s="417" t="e">
        <f>GV355+GV361+#REF!+GV387+GV391</f>
        <v>#REF!</v>
      </c>
      <c r="GW392" s="417" t="e">
        <f>GW355+GW361+#REF!+GW387+GW391</f>
        <v>#REF!</v>
      </c>
      <c r="GX392" s="417" t="e">
        <f>GX355+GX361+#REF!+GX387+GX391</f>
        <v>#REF!</v>
      </c>
      <c r="GY392" s="417"/>
      <c r="GZ392" s="417"/>
      <c r="HA392" s="417"/>
      <c r="HB392" s="417"/>
      <c r="HC392" s="417"/>
      <c r="HD392" s="417"/>
      <c r="HE392" s="417"/>
      <c r="HF392" s="417"/>
      <c r="HG392" s="417" t="e">
        <f>HG355+HG361+#REF!+HG387+HG391</f>
        <v>#REF!</v>
      </c>
      <c r="HH392" s="417" t="e">
        <f>HH355+HH361+#REF!+HH387+HH391</f>
        <v>#REF!</v>
      </c>
      <c r="HI392" s="417" t="e">
        <f>HI355+HI361+#REF!+HI387+HI391</f>
        <v>#REF!</v>
      </c>
      <c r="HJ392" s="417" t="e">
        <f>HJ355+HJ361+#REF!+HJ387+HJ391</f>
        <v>#REF!</v>
      </c>
      <c r="HK392" s="417" t="e">
        <f>HK355+HK361+#REF!+HK387+HK391</f>
        <v>#REF!</v>
      </c>
      <c r="HL392" s="417" t="e">
        <f>HL355+HL361+#REF!+HL387+HL391</f>
        <v>#REF!</v>
      </c>
      <c r="HM392" s="417" t="e">
        <f>HM355+HM361+#REF!+HM387+HM391</f>
        <v>#REF!</v>
      </c>
      <c r="HN392" s="417" t="e">
        <f>HN355+HN361+#REF!+HN387+HN391</f>
        <v>#REF!</v>
      </c>
      <c r="HO392" s="417" t="e">
        <f>HO355+HO361+#REF!+HO387+HO391</f>
        <v>#REF!</v>
      </c>
      <c r="HP392" s="417" t="e">
        <f>HP355+HP361+#REF!+HP387+HP391</f>
        <v>#REF!</v>
      </c>
      <c r="HQ392" s="417" t="e">
        <f>HQ355+HQ361+#REF!+HQ387+HQ391</f>
        <v>#REF!</v>
      </c>
      <c r="HR392" s="417" t="e">
        <f>HR355+HR361+#REF!+HR387+HR391</f>
        <v>#REF!</v>
      </c>
      <c r="HS392" s="417" t="e">
        <f>HS355+HS361+#REF!+HS387+HS391</f>
        <v>#REF!</v>
      </c>
      <c r="HT392" s="417" t="e">
        <f>HT355+HT361+#REF!+HT387+HT391</f>
        <v>#REF!</v>
      </c>
      <c r="HU392" s="417" t="e">
        <f>HU355+HU361+#REF!+HU387+HU391</f>
        <v>#REF!</v>
      </c>
      <c r="HV392" s="417" t="e">
        <f>HV355+HV361+#REF!+HV387+HV391</f>
        <v>#REF!</v>
      </c>
      <c r="HW392" s="417" t="e">
        <f>HW355+HW361+#REF!+HW387+HW391</f>
        <v>#REF!</v>
      </c>
      <c r="HX392" s="417" t="e">
        <f>HX355+HX361+#REF!+HX387+HX391</f>
        <v>#REF!</v>
      </c>
      <c r="HY392" s="417" t="e">
        <f>HY355+HY361+#REF!+HY387+HY391</f>
        <v>#REF!</v>
      </c>
      <c r="HZ392" s="417" t="e">
        <f>HZ355+HZ361+#REF!+HZ387+HZ391</f>
        <v>#REF!</v>
      </c>
      <c r="IA392" s="417" t="e">
        <f>IA355+IA361+#REF!+IA387+IA391</f>
        <v>#REF!</v>
      </c>
      <c r="IB392" s="417" t="e">
        <f>IB355+IB361+#REF!+IB387+IB391</f>
        <v>#REF!</v>
      </c>
      <c r="IC392" s="417" t="e">
        <f>IC355+IC361+#REF!+IC387+IC391</f>
        <v>#REF!</v>
      </c>
      <c r="ID392" s="417" t="e">
        <f>ID355+ID361+#REF!+ID387+ID391</f>
        <v>#REF!</v>
      </c>
      <c r="IE392" s="420"/>
      <c r="IF392" s="141"/>
      <c r="IG392" s="141"/>
      <c r="IH392" s="141"/>
    </row>
    <row r="393" spans="2:242" s="142" customFormat="1" ht="10.5" hidden="1" customHeight="1" x14ac:dyDescent="0.25">
      <c r="B393" s="421"/>
      <c r="C393" s="422"/>
      <c r="D393" s="423"/>
      <c r="E393" s="424"/>
      <c r="F393" s="424"/>
      <c r="G393" s="424"/>
      <c r="H393" s="424"/>
      <c r="I393" s="424"/>
      <c r="J393" s="424"/>
      <c r="K393" s="424"/>
      <c r="L393" s="424"/>
      <c r="M393" s="424"/>
      <c r="N393" s="424"/>
      <c r="O393" s="424"/>
      <c r="P393" s="424"/>
      <c r="Q393" s="424"/>
      <c r="R393" s="424"/>
      <c r="S393" s="424"/>
      <c r="T393" s="424"/>
      <c r="U393" s="424"/>
      <c r="V393" s="424"/>
      <c r="W393" s="424"/>
      <c r="X393" s="424"/>
      <c r="Y393" s="424"/>
      <c r="Z393" s="425"/>
      <c r="AA393" s="425"/>
      <c r="AB393" s="425"/>
      <c r="AC393" s="425"/>
      <c r="AD393" s="425"/>
      <c r="AE393" s="425"/>
      <c r="AF393" s="425"/>
      <c r="AG393" s="425"/>
      <c r="AH393" s="425"/>
      <c r="AI393" s="425"/>
      <c r="AJ393" s="425"/>
      <c r="AK393" s="425"/>
      <c r="AL393" s="425"/>
      <c r="AM393" s="425"/>
      <c r="AN393" s="425"/>
      <c r="AO393" s="426"/>
      <c r="AP393" s="425"/>
      <c r="AQ393" s="425"/>
      <c r="AR393" s="425"/>
      <c r="AS393" s="425"/>
      <c r="AT393" s="425"/>
      <c r="AU393" s="425"/>
      <c r="AV393" s="425"/>
      <c r="AW393" s="425"/>
      <c r="AX393" s="425"/>
      <c r="AY393" s="425"/>
      <c r="AZ393" s="425"/>
      <c r="BA393" s="425"/>
      <c r="BB393" s="425"/>
      <c r="BC393" s="425"/>
      <c r="BD393" s="425"/>
      <c r="BE393" s="425"/>
      <c r="BF393" s="425"/>
      <c r="BG393" s="425"/>
      <c r="BH393" s="425"/>
      <c r="BI393" s="425"/>
      <c r="BJ393" s="425"/>
      <c r="BK393" s="427"/>
      <c r="BL393" s="428"/>
      <c r="BM393" s="428"/>
      <c r="BN393" s="428"/>
      <c r="BO393" s="428"/>
      <c r="BP393" s="428"/>
      <c r="BQ393" s="428"/>
      <c r="BR393" s="428"/>
      <c r="BS393" s="428"/>
      <c r="BT393" s="428"/>
      <c r="BU393" s="428"/>
      <c r="BV393" s="425"/>
      <c r="BW393" s="425"/>
      <c r="BX393" s="425"/>
      <c r="BY393" s="425"/>
      <c r="BZ393" s="425"/>
      <c r="CA393" s="425"/>
      <c r="CB393" s="425"/>
      <c r="CC393" s="425"/>
      <c r="CD393" s="429"/>
      <c r="CE393" s="426"/>
      <c r="CF393" s="430"/>
      <c r="CG393" s="425"/>
      <c r="CH393" s="425"/>
      <c r="CI393" s="425"/>
      <c r="CJ393" s="425"/>
      <c r="CK393" s="425"/>
      <c r="CL393" s="425"/>
      <c r="CM393" s="425"/>
      <c r="CN393" s="425"/>
      <c r="CO393" s="425"/>
      <c r="CP393" s="425"/>
      <c r="CQ393" s="425"/>
      <c r="CR393" s="425"/>
      <c r="CS393" s="425"/>
      <c r="CT393" s="425"/>
      <c r="CU393" s="425"/>
      <c r="CV393" s="429"/>
      <c r="CW393" s="429"/>
      <c r="CX393" s="429"/>
      <c r="CY393" s="429"/>
      <c r="CZ393" s="425"/>
      <c r="DA393" s="425"/>
      <c r="DB393" s="425"/>
      <c r="DC393" s="425"/>
      <c r="DD393" s="425"/>
      <c r="DE393" s="425"/>
      <c r="DF393" s="429"/>
      <c r="DG393" s="429"/>
      <c r="DH393" s="429"/>
      <c r="DI393" s="429"/>
      <c r="DJ393" s="429"/>
      <c r="DK393" s="429"/>
      <c r="DL393" s="429"/>
      <c r="DM393" s="429"/>
      <c r="DN393" s="429"/>
      <c r="DO393" s="429"/>
      <c r="DP393" s="429"/>
      <c r="DQ393" s="429"/>
      <c r="DR393" s="429"/>
      <c r="DS393" s="429"/>
      <c r="DT393" s="429"/>
      <c r="DU393" s="425"/>
      <c r="DV393" s="425"/>
      <c r="DW393" s="425"/>
      <c r="DX393" s="425"/>
      <c r="DY393" s="425"/>
      <c r="DZ393" s="425"/>
      <c r="EA393" s="425"/>
      <c r="EB393" s="425"/>
      <c r="EC393" s="425"/>
      <c r="ED393" s="429"/>
      <c r="EE393" s="429"/>
      <c r="EF393" s="429"/>
      <c r="EG393" s="429"/>
      <c r="EH393" s="429"/>
      <c r="EI393" s="429"/>
      <c r="EJ393" s="429"/>
      <c r="EK393" s="429"/>
      <c r="EL393" s="429"/>
      <c r="EM393" s="429"/>
      <c r="EN393" s="429"/>
      <c r="EO393" s="429"/>
      <c r="EP393" s="429"/>
      <c r="EQ393" s="429"/>
      <c r="ER393" s="429"/>
      <c r="ES393" s="429"/>
      <c r="ET393" s="429"/>
      <c r="EU393" s="429"/>
      <c r="EV393" s="429"/>
      <c r="EW393" s="425"/>
      <c r="EX393" s="425"/>
      <c r="EY393" s="425"/>
      <c r="EZ393" s="429"/>
      <c r="FA393" s="429"/>
      <c r="FB393" s="429"/>
      <c r="FC393" s="429"/>
      <c r="FD393" s="429"/>
      <c r="FE393" s="429"/>
      <c r="FF393" s="429"/>
      <c r="FG393" s="429"/>
      <c r="FH393" s="429"/>
      <c r="FI393" s="429"/>
      <c r="FJ393" s="429"/>
      <c r="FK393" s="429"/>
      <c r="FL393" s="429"/>
      <c r="FM393" s="429"/>
      <c r="FN393" s="429"/>
      <c r="FO393" s="429"/>
      <c r="FP393" s="429"/>
      <c r="FQ393" s="429"/>
      <c r="FR393" s="429"/>
      <c r="FS393" s="429"/>
      <c r="FT393" s="429"/>
      <c r="FU393" s="429"/>
      <c r="FV393" s="429"/>
      <c r="FW393" s="429"/>
      <c r="FX393" s="429"/>
      <c r="FY393" s="429"/>
      <c r="FZ393" s="429"/>
      <c r="GA393" s="429"/>
      <c r="GB393" s="429"/>
      <c r="GC393" s="429"/>
      <c r="GD393" s="429"/>
      <c r="GE393" s="429"/>
      <c r="GF393" s="429"/>
      <c r="GG393" s="429"/>
      <c r="GH393" s="429"/>
      <c r="GI393" s="429"/>
      <c r="GJ393" s="429"/>
      <c r="GK393" s="429"/>
      <c r="GL393" s="429"/>
      <c r="GM393" s="429"/>
      <c r="GN393" s="429"/>
      <c r="GO393" s="429"/>
      <c r="GP393" s="429"/>
      <c r="GQ393" s="429"/>
      <c r="GR393" s="429"/>
      <c r="GS393" s="429"/>
      <c r="GT393" s="429"/>
      <c r="GU393" s="429"/>
      <c r="GV393" s="429"/>
      <c r="GW393" s="429"/>
      <c r="GX393" s="429"/>
      <c r="GY393" s="429"/>
      <c r="GZ393" s="429"/>
      <c r="HA393" s="429"/>
      <c r="HB393" s="429"/>
      <c r="HC393" s="429"/>
      <c r="HD393" s="429"/>
      <c r="HE393" s="429"/>
      <c r="HF393" s="429"/>
      <c r="HG393" s="429"/>
      <c r="HH393" s="429"/>
      <c r="HI393" s="429"/>
      <c r="HJ393" s="429"/>
      <c r="HK393" s="429"/>
      <c r="HL393" s="429"/>
      <c r="HM393" s="429"/>
      <c r="HN393" s="429"/>
      <c r="HO393" s="429"/>
      <c r="HP393" s="429"/>
      <c r="HQ393" s="429"/>
      <c r="HR393" s="429"/>
      <c r="HS393" s="429"/>
      <c r="HT393" s="429"/>
      <c r="HU393" s="429"/>
      <c r="HV393" s="429"/>
      <c r="HW393" s="429"/>
      <c r="HX393" s="429"/>
      <c r="HY393" s="429"/>
      <c r="HZ393" s="429"/>
      <c r="IA393" s="429"/>
      <c r="IB393" s="429"/>
      <c r="IC393" s="429"/>
      <c r="ID393" s="429"/>
      <c r="IE393" s="431"/>
      <c r="IF393" s="432"/>
      <c r="IG393" s="432"/>
      <c r="IH393" s="432"/>
    </row>
    <row r="394" spans="2:242" s="142" customFormat="1" ht="27.75" hidden="1" customHeight="1" x14ac:dyDescent="0.2">
      <c r="B394" s="720" t="s">
        <v>458</v>
      </c>
      <c r="C394" s="721"/>
      <c r="D394" s="433"/>
      <c r="E394" s="434" t="e">
        <f t="shared" ref="E394:AN394" si="799">E355+E361</f>
        <v>#REF!</v>
      </c>
      <c r="F394" s="434" t="e">
        <f t="shared" si="799"/>
        <v>#REF!</v>
      </c>
      <c r="G394" s="434" t="e">
        <f t="shared" si="799"/>
        <v>#REF!</v>
      </c>
      <c r="H394" s="434" t="e">
        <f t="shared" si="799"/>
        <v>#REF!</v>
      </c>
      <c r="I394" s="434" t="e">
        <f t="shared" si="799"/>
        <v>#REF!</v>
      </c>
      <c r="J394" s="434" t="e">
        <f t="shared" si="799"/>
        <v>#REF!</v>
      </c>
      <c r="K394" s="434" t="e">
        <f t="shared" si="799"/>
        <v>#REF!</v>
      </c>
      <c r="L394" s="434" t="e">
        <f t="shared" si="799"/>
        <v>#REF!</v>
      </c>
      <c r="M394" s="434" t="e">
        <f t="shared" si="799"/>
        <v>#REF!</v>
      </c>
      <c r="N394" s="434" t="e">
        <f t="shared" si="799"/>
        <v>#REF!</v>
      </c>
      <c r="O394" s="434" t="e">
        <f t="shared" si="799"/>
        <v>#REF!</v>
      </c>
      <c r="P394" s="434" t="e">
        <f t="shared" si="799"/>
        <v>#REF!</v>
      </c>
      <c r="Q394" s="420" t="e">
        <f t="shared" si="799"/>
        <v>#REF!</v>
      </c>
      <c r="R394" s="420" t="e">
        <f t="shared" si="799"/>
        <v>#REF!</v>
      </c>
      <c r="S394" s="420" t="e">
        <f t="shared" si="799"/>
        <v>#REF!</v>
      </c>
      <c r="T394" s="420" t="e">
        <f t="shared" si="799"/>
        <v>#REF!</v>
      </c>
      <c r="U394" s="420" t="e">
        <f t="shared" si="799"/>
        <v>#REF!</v>
      </c>
      <c r="V394" s="420" t="e">
        <f t="shared" si="799"/>
        <v>#REF!</v>
      </c>
      <c r="W394" s="420" t="e">
        <f t="shared" si="799"/>
        <v>#REF!</v>
      </c>
      <c r="X394" s="420" t="e">
        <f t="shared" si="799"/>
        <v>#REF!</v>
      </c>
      <c r="Y394" s="420" t="e">
        <f t="shared" si="799"/>
        <v>#REF!</v>
      </c>
      <c r="Z394" s="420" t="e">
        <f t="shared" si="799"/>
        <v>#REF!</v>
      </c>
      <c r="AA394" s="420" t="e">
        <f t="shared" si="799"/>
        <v>#REF!</v>
      </c>
      <c r="AB394" s="420" t="e">
        <f t="shared" si="799"/>
        <v>#REF!</v>
      </c>
      <c r="AC394" s="420" t="e">
        <f t="shared" si="799"/>
        <v>#REF!</v>
      </c>
      <c r="AD394" s="420" t="e">
        <f t="shared" si="799"/>
        <v>#REF!</v>
      </c>
      <c r="AE394" s="420" t="e">
        <f t="shared" si="799"/>
        <v>#REF!</v>
      </c>
      <c r="AF394" s="420" t="e">
        <f t="shared" si="799"/>
        <v>#REF!</v>
      </c>
      <c r="AG394" s="420" t="e">
        <f t="shared" si="799"/>
        <v>#REF!</v>
      </c>
      <c r="AH394" s="420" t="e">
        <f t="shared" si="799"/>
        <v>#REF!</v>
      </c>
      <c r="AI394" s="420" t="e">
        <f t="shared" si="799"/>
        <v>#REF!</v>
      </c>
      <c r="AJ394" s="420" t="e">
        <f t="shared" si="799"/>
        <v>#REF!</v>
      </c>
      <c r="AK394" s="420" t="e">
        <f t="shared" si="799"/>
        <v>#REF!</v>
      </c>
      <c r="AL394" s="420" t="e">
        <f t="shared" si="799"/>
        <v>#REF!</v>
      </c>
      <c r="AM394" s="420" t="e">
        <f t="shared" si="799"/>
        <v>#REF!</v>
      </c>
      <c r="AN394" s="420" t="e">
        <f t="shared" si="799"/>
        <v>#REF!</v>
      </c>
      <c r="AO394" s="426">
        <v>1</v>
      </c>
      <c r="AP394" s="420" t="e">
        <f t="shared" ref="AP394:BJ394" si="800">AP355+AP361</f>
        <v>#REF!</v>
      </c>
      <c r="AQ394" s="420" t="e">
        <f t="shared" si="800"/>
        <v>#REF!</v>
      </c>
      <c r="AR394" s="420" t="e">
        <f t="shared" si="800"/>
        <v>#REF!</v>
      </c>
      <c r="AS394" s="420" t="e">
        <f t="shared" si="800"/>
        <v>#REF!</v>
      </c>
      <c r="AT394" s="420" t="e">
        <f t="shared" si="800"/>
        <v>#REF!</v>
      </c>
      <c r="AU394" s="420" t="e">
        <f t="shared" si="800"/>
        <v>#REF!</v>
      </c>
      <c r="AV394" s="420" t="e">
        <f t="shared" si="800"/>
        <v>#REF!</v>
      </c>
      <c r="AW394" s="420" t="e">
        <f t="shared" si="800"/>
        <v>#REF!</v>
      </c>
      <c r="AX394" s="420" t="e">
        <f t="shared" si="800"/>
        <v>#REF!</v>
      </c>
      <c r="AY394" s="420" t="e">
        <f t="shared" si="800"/>
        <v>#REF!</v>
      </c>
      <c r="AZ394" s="420" t="e">
        <f t="shared" si="800"/>
        <v>#REF!</v>
      </c>
      <c r="BA394" s="420" t="e">
        <f t="shared" si="800"/>
        <v>#REF!</v>
      </c>
      <c r="BB394" s="420" t="e">
        <f t="shared" si="800"/>
        <v>#REF!</v>
      </c>
      <c r="BC394" s="420" t="e">
        <f t="shared" si="800"/>
        <v>#REF!</v>
      </c>
      <c r="BD394" s="420" t="e">
        <f t="shared" si="800"/>
        <v>#REF!</v>
      </c>
      <c r="BE394" s="420" t="e">
        <f t="shared" si="800"/>
        <v>#REF!</v>
      </c>
      <c r="BF394" s="420" t="e">
        <f t="shared" si="800"/>
        <v>#REF!</v>
      </c>
      <c r="BG394" s="420" t="e">
        <f t="shared" si="800"/>
        <v>#REF!</v>
      </c>
      <c r="BH394" s="420" t="e">
        <f t="shared" si="800"/>
        <v>#REF!</v>
      </c>
      <c r="BI394" s="420" t="e">
        <f t="shared" si="800"/>
        <v>#REF!</v>
      </c>
      <c r="BJ394" s="420" t="e">
        <f t="shared" si="800"/>
        <v>#REF!</v>
      </c>
      <c r="BK394" s="427">
        <v>1</v>
      </c>
      <c r="BL394" s="420" t="e">
        <f>BL355+BL361</f>
        <v>#REF!</v>
      </c>
      <c r="BM394" s="420"/>
      <c r="BN394" s="420"/>
      <c r="BO394" s="420"/>
      <c r="BP394" s="420"/>
      <c r="BQ394" s="420"/>
      <c r="BR394" s="420"/>
      <c r="BS394" s="420"/>
      <c r="BT394" s="420"/>
      <c r="BU394" s="420"/>
      <c r="BV394" s="420" t="e">
        <f t="shared" ref="BV394:CD394" si="801">BV355+BV361</f>
        <v>#REF!</v>
      </c>
      <c r="BW394" s="420" t="e">
        <f t="shared" si="801"/>
        <v>#REF!</v>
      </c>
      <c r="BX394" s="420" t="e">
        <f t="shared" si="801"/>
        <v>#REF!</v>
      </c>
      <c r="BY394" s="420" t="e">
        <f t="shared" si="801"/>
        <v>#REF!</v>
      </c>
      <c r="BZ394" s="420" t="e">
        <f t="shared" si="801"/>
        <v>#REF!</v>
      </c>
      <c r="CA394" s="420" t="e">
        <f t="shared" si="801"/>
        <v>#REF!</v>
      </c>
      <c r="CB394" s="420" t="e">
        <f t="shared" si="801"/>
        <v>#REF!</v>
      </c>
      <c r="CC394" s="420" t="e">
        <f t="shared" si="801"/>
        <v>#REF!</v>
      </c>
      <c r="CD394" s="435" t="e">
        <f t="shared" si="801"/>
        <v>#REF!</v>
      </c>
      <c r="CE394" s="426">
        <v>1</v>
      </c>
      <c r="CF394" s="203" t="e">
        <f>CF355+CF361</f>
        <v>#REF!</v>
      </c>
      <c r="CG394" s="420"/>
      <c r="CH394" s="420" t="e">
        <f t="shared" ref="CH394:CM394" si="802">CH355+CH361</f>
        <v>#REF!</v>
      </c>
      <c r="CI394" s="420" t="e">
        <f t="shared" si="802"/>
        <v>#REF!</v>
      </c>
      <c r="CJ394" s="420" t="e">
        <f t="shared" si="802"/>
        <v>#REF!</v>
      </c>
      <c r="CK394" s="420" t="e">
        <f t="shared" si="802"/>
        <v>#REF!</v>
      </c>
      <c r="CL394" s="420" t="e">
        <f t="shared" si="802"/>
        <v>#REF!</v>
      </c>
      <c r="CM394" s="420" t="e">
        <f t="shared" si="802"/>
        <v>#REF!</v>
      </c>
      <c r="CN394" s="420"/>
      <c r="CO394" s="420"/>
      <c r="CP394" s="420"/>
      <c r="CQ394" s="420" t="e">
        <f t="shared" ref="CQ394:DV394" si="803">CQ355+CQ361</f>
        <v>#REF!</v>
      </c>
      <c r="CR394" s="420" t="e">
        <f t="shared" si="803"/>
        <v>#REF!</v>
      </c>
      <c r="CS394" s="420" t="e">
        <f t="shared" si="803"/>
        <v>#REF!</v>
      </c>
      <c r="CT394" s="420" t="e">
        <f t="shared" si="803"/>
        <v>#REF!</v>
      </c>
      <c r="CU394" s="420" t="e">
        <f t="shared" si="803"/>
        <v>#REF!</v>
      </c>
      <c r="CV394" s="435" t="e">
        <f t="shared" si="803"/>
        <v>#REF!</v>
      </c>
      <c r="CW394" s="420" t="e">
        <f t="shared" si="803"/>
        <v>#REF!</v>
      </c>
      <c r="CX394" s="420" t="e">
        <f t="shared" si="803"/>
        <v>#REF!</v>
      </c>
      <c r="CY394" s="435" t="e">
        <f t="shared" si="803"/>
        <v>#REF!</v>
      </c>
      <c r="CZ394" s="420" t="e">
        <f t="shared" si="803"/>
        <v>#REF!</v>
      </c>
      <c r="DA394" s="420" t="e">
        <f t="shared" si="803"/>
        <v>#REF!</v>
      </c>
      <c r="DB394" s="435" t="e">
        <f t="shared" si="803"/>
        <v>#REF!</v>
      </c>
      <c r="DC394" s="420">
        <f t="shared" si="803"/>
        <v>728505.35064000008</v>
      </c>
      <c r="DD394" s="420">
        <f t="shared" si="803"/>
        <v>348155.35063999996</v>
      </c>
      <c r="DE394" s="435">
        <f t="shared" si="803"/>
        <v>380350</v>
      </c>
      <c r="DF394" s="420" t="e">
        <f t="shared" si="803"/>
        <v>#REF!</v>
      </c>
      <c r="DG394" s="420" t="e">
        <f t="shared" si="803"/>
        <v>#REF!</v>
      </c>
      <c r="DH394" s="435" t="e">
        <f t="shared" si="803"/>
        <v>#REF!</v>
      </c>
      <c r="DI394" s="420" t="e">
        <f t="shared" si="803"/>
        <v>#REF!</v>
      </c>
      <c r="DJ394" s="420" t="e">
        <f t="shared" si="803"/>
        <v>#REF!</v>
      </c>
      <c r="DK394" s="435" t="e">
        <f t="shared" si="803"/>
        <v>#REF!</v>
      </c>
      <c r="DL394" s="420" t="e">
        <f t="shared" si="803"/>
        <v>#REF!</v>
      </c>
      <c r="DM394" s="420" t="e">
        <f t="shared" si="803"/>
        <v>#REF!</v>
      </c>
      <c r="DN394" s="435" t="e">
        <f t="shared" si="803"/>
        <v>#REF!</v>
      </c>
      <c r="DO394" s="420" t="e">
        <f t="shared" si="803"/>
        <v>#REF!</v>
      </c>
      <c r="DP394" s="420" t="e">
        <f t="shared" si="803"/>
        <v>#REF!</v>
      </c>
      <c r="DQ394" s="435" t="e">
        <f t="shared" si="803"/>
        <v>#REF!</v>
      </c>
      <c r="DR394" s="420" t="e">
        <f t="shared" si="803"/>
        <v>#REF!</v>
      </c>
      <c r="DS394" s="420" t="e">
        <f t="shared" si="803"/>
        <v>#REF!</v>
      </c>
      <c r="DT394" s="435" t="e">
        <f t="shared" si="803"/>
        <v>#REF!</v>
      </c>
      <c r="DU394" s="420" t="e">
        <f t="shared" si="803"/>
        <v>#REF!</v>
      </c>
      <c r="DV394" s="420" t="e">
        <f t="shared" si="803"/>
        <v>#REF!</v>
      </c>
      <c r="DW394" s="435" t="e">
        <f t="shared" ref="DW394:FB394" si="804">DW355+DW361</f>
        <v>#REF!</v>
      </c>
      <c r="DX394" s="420" t="e">
        <f t="shared" si="804"/>
        <v>#REF!</v>
      </c>
      <c r="DY394" s="420" t="e">
        <f t="shared" si="804"/>
        <v>#REF!</v>
      </c>
      <c r="DZ394" s="435" t="e">
        <f t="shared" si="804"/>
        <v>#REF!</v>
      </c>
      <c r="EA394" s="420">
        <f t="shared" si="804"/>
        <v>1170129.6810599999</v>
      </c>
      <c r="EB394" s="420">
        <f t="shared" si="804"/>
        <v>726987.68105999997</v>
      </c>
      <c r="EC394" s="435">
        <f t="shared" si="804"/>
        <v>443142</v>
      </c>
      <c r="ED394" s="420" t="e">
        <f t="shared" si="804"/>
        <v>#REF!</v>
      </c>
      <c r="EE394" s="420" t="e">
        <f t="shared" si="804"/>
        <v>#REF!</v>
      </c>
      <c r="EF394" s="435" t="e">
        <f t="shared" si="804"/>
        <v>#REF!</v>
      </c>
      <c r="EG394" s="420" t="e">
        <f t="shared" si="804"/>
        <v>#REF!</v>
      </c>
      <c r="EH394" s="420" t="e">
        <f t="shared" si="804"/>
        <v>#REF!</v>
      </c>
      <c r="EI394" s="420">
        <f t="shared" si="804"/>
        <v>639535.67071999994</v>
      </c>
      <c r="EJ394" s="435" t="e">
        <f t="shared" si="804"/>
        <v>#REF!</v>
      </c>
      <c r="EK394" s="420" t="e">
        <f t="shared" si="804"/>
        <v>#REF!</v>
      </c>
      <c r="EL394" s="420" t="e">
        <f t="shared" si="804"/>
        <v>#REF!</v>
      </c>
      <c r="EM394" s="420" t="e">
        <f t="shared" si="804"/>
        <v>#REF!</v>
      </c>
      <c r="EN394" s="420" t="e">
        <f t="shared" si="804"/>
        <v>#REF!</v>
      </c>
      <c r="EO394" s="420" t="e">
        <f t="shared" si="804"/>
        <v>#REF!</v>
      </c>
      <c r="EP394" s="420" t="e">
        <f t="shared" si="804"/>
        <v>#REF!</v>
      </c>
      <c r="EQ394" s="420" t="e">
        <f t="shared" si="804"/>
        <v>#REF!</v>
      </c>
      <c r="ER394" s="420" t="e">
        <f t="shared" si="804"/>
        <v>#REF!</v>
      </c>
      <c r="ES394" s="420" t="e">
        <f t="shared" si="804"/>
        <v>#REF!</v>
      </c>
      <c r="ET394" s="420" t="e">
        <f t="shared" si="804"/>
        <v>#REF!</v>
      </c>
      <c r="EU394" s="420">
        <f t="shared" si="804"/>
        <v>-200912.7696</v>
      </c>
      <c r="EV394" s="435" t="e">
        <f t="shared" si="804"/>
        <v>#REF!</v>
      </c>
      <c r="EW394" s="420" t="e">
        <f t="shared" si="804"/>
        <v>#REF!</v>
      </c>
      <c r="EX394" s="420" t="e">
        <f t="shared" si="804"/>
        <v>#REF!</v>
      </c>
      <c r="EY394" s="435" t="e">
        <f t="shared" si="804"/>
        <v>#REF!</v>
      </c>
      <c r="EZ394" s="420" t="e">
        <f t="shared" si="804"/>
        <v>#REF!</v>
      </c>
      <c r="FA394" s="420" t="e">
        <f t="shared" si="804"/>
        <v>#REF!</v>
      </c>
      <c r="FB394" s="435">
        <f t="shared" si="804"/>
        <v>260607.51318000001</v>
      </c>
      <c r="FC394" s="420">
        <f t="shared" ref="FC394:FR394" si="805">FC355+FC361</f>
        <v>18603061.699999999</v>
      </c>
      <c r="FD394" s="420">
        <f t="shared" si="805"/>
        <v>16297088.05641</v>
      </c>
      <c r="FE394" s="420">
        <f t="shared" si="805"/>
        <v>438079.28591999999</v>
      </c>
      <c r="FF394" s="435">
        <f t="shared" si="805"/>
        <v>1867894.3576700001</v>
      </c>
      <c r="FG394" s="420" t="e">
        <f t="shared" si="805"/>
        <v>#REF!</v>
      </c>
      <c r="FH394" s="420" t="e">
        <f t="shared" si="805"/>
        <v>#REF!</v>
      </c>
      <c r="FI394" s="420">
        <f t="shared" si="805"/>
        <v>543.61520000000019</v>
      </c>
      <c r="FJ394" s="435">
        <f t="shared" si="805"/>
        <v>82541.089620000028</v>
      </c>
      <c r="FK394" s="420" t="e">
        <f t="shared" si="805"/>
        <v>#REF!</v>
      </c>
      <c r="FL394" s="420" t="e">
        <f t="shared" si="805"/>
        <v>#REF!</v>
      </c>
      <c r="FM394" s="420" t="e">
        <f t="shared" si="805"/>
        <v>#REF!</v>
      </c>
      <c r="FN394" s="420" t="e">
        <f t="shared" si="805"/>
        <v>#REF!</v>
      </c>
      <c r="FO394" s="420">
        <f t="shared" si="805"/>
        <v>14670732.79208</v>
      </c>
      <c r="FP394" s="420">
        <f t="shared" si="805"/>
        <v>12403295.17331</v>
      </c>
      <c r="FQ394" s="420">
        <f t="shared" si="805"/>
        <v>438622.90111999999</v>
      </c>
      <c r="FR394" s="435">
        <f t="shared" si="805"/>
        <v>1828814.7176500002</v>
      </c>
      <c r="FS394" s="435"/>
      <c r="FT394" s="435"/>
      <c r="FU394" s="435"/>
      <c r="FV394" s="435"/>
      <c r="FW394" s="435"/>
      <c r="FX394" s="435"/>
      <c r="FY394" s="435"/>
      <c r="FZ394" s="435"/>
      <c r="GA394" s="435"/>
      <c r="GB394" s="435"/>
      <c r="GC394" s="435"/>
      <c r="GD394" s="435"/>
      <c r="GE394" s="435"/>
      <c r="GF394" s="435"/>
      <c r="GG394" s="435"/>
      <c r="GH394" s="435"/>
      <c r="GI394" s="435"/>
      <c r="GJ394" s="435"/>
      <c r="GK394" s="435"/>
      <c r="GL394" s="435"/>
      <c r="GM394" s="435"/>
      <c r="GN394" s="435"/>
      <c r="GO394" s="435"/>
      <c r="GP394" s="435"/>
      <c r="GQ394" s="435"/>
      <c r="GR394" s="435"/>
      <c r="GS394" s="435"/>
      <c r="GT394" s="435"/>
      <c r="GU394" s="420" t="e">
        <f>GU355+GU361</f>
        <v>#REF!</v>
      </c>
      <c r="GV394" s="420" t="e">
        <f>GV355+GV361</f>
        <v>#REF!</v>
      </c>
      <c r="GW394" s="420">
        <f>GW355+GW361</f>
        <v>680085.67045999994</v>
      </c>
      <c r="GX394" s="435" t="e">
        <f>GX355+GX361</f>
        <v>#REF!</v>
      </c>
      <c r="GY394" s="435"/>
      <c r="GZ394" s="435"/>
      <c r="HA394" s="435"/>
      <c r="HB394" s="435"/>
      <c r="HC394" s="435"/>
      <c r="HD394" s="435"/>
      <c r="HE394" s="435"/>
      <c r="HF394" s="435"/>
      <c r="HG394" s="420" t="e">
        <f t="shared" ref="HG394:ID394" si="806">HG355+HG361</f>
        <v>#REF!</v>
      </c>
      <c r="HH394" s="420" t="e">
        <f t="shared" si="806"/>
        <v>#REF!</v>
      </c>
      <c r="HI394" s="420">
        <f t="shared" si="806"/>
        <v>0</v>
      </c>
      <c r="HJ394" s="435" t="e">
        <f t="shared" si="806"/>
        <v>#REF!</v>
      </c>
      <c r="HK394" s="420" t="e">
        <f t="shared" si="806"/>
        <v>#REF!</v>
      </c>
      <c r="HL394" s="420" t="e">
        <f t="shared" si="806"/>
        <v>#REF!</v>
      </c>
      <c r="HM394" s="420">
        <f t="shared" si="806"/>
        <v>0</v>
      </c>
      <c r="HN394" s="435" t="e">
        <f t="shared" si="806"/>
        <v>#REF!</v>
      </c>
      <c r="HO394" s="420" t="e">
        <f t="shared" si="806"/>
        <v>#REF!</v>
      </c>
      <c r="HP394" s="420" t="e">
        <f t="shared" si="806"/>
        <v>#REF!</v>
      </c>
      <c r="HQ394" s="420">
        <f t="shared" si="806"/>
        <v>680085.67045999994</v>
      </c>
      <c r="HR394" s="435">
        <f t="shared" si="806"/>
        <v>1548502.45618</v>
      </c>
      <c r="HS394" s="420" t="e">
        <f t="shared" si="806"/>
        <v>#REF!</v>
      </c>
      <c r="HT394" s="420" t="e">
        <f t="shared" si="806"/>
        <v>#REF!</v>
      </c>
      <c r="HU394" s="420">
        <f t="shared" si="806"/>
        <v>876341.19415</v>
      </c>
      <c r="HV394" s="435" t="e">
        <f t="shared" si="806"/>
        <v>#REF!</v>
      </c>
      <c r="HW394" s="420" t="e">
        <f t="shared" si="806"/>
        <v>#REF!</v>
      </c>
      <c r="HX394" s="420" t="e">
        <f t="shared" si="806"/>
        <v>#REF!</v>
      </c>
      <c r="HY394" s="420">
        <f t="shared" si="806"/>
        <v>0</v>
      </c>
      <c r="HZ394" s="435" t="e">
        <f t="shared" si="806"/>
        <v>#REF!</v>
      </c>
      <c r="IA394" s="420" t="e">
        <f t="shared" si="806"/>
        <v>#REF!</v>
      </c>
      <c r="IB394" s="420" t="e">
        <f t="shared" si="806"/>
        <v>#REF!</v>
      </c>
      <c r="IC394" s="420">
        <f t="shared" si="806"/>
        <v>876341.19415</v>
      </c>
      <c r="ID394" s="435" t="e">
        <f t="shared" si="806"/>
        <v>#REF!</v>
      </c>
      <c r="IE394" s="420"/>
      <c r="IF394" s="141"/>
      <c r="IG394" s="141"/>
      <c r="IH394" s="141"/>
    </row>
    <row r="395" spans="2:242" s="142" customFormat="1" ht="29.25" hidden="1" customHeight="1" x14ac:dyDescent="0.2">
      <c r="B395" s="720" t="s">
        <v>459</v>
      </c>
      <c r="C395" s="721"/>
      <c r="D395" s="433"/>
      <c r="E395" s="434" t="e">
        <f>#REF!+#REF!</f>
        <v>#REF!</v>
      </c>
      <c r="F395" s="434" t="e">
        <f>#REF!+#REF!</f>
        <v>#REF!</v>
      </c>
      <c r="G395" s="434" t="e">
        <f>#REF!+#REF!</f>
        <v>#REF!</v>
      </c>
      <c r="H395" s="434" t="e">
        <f>#REF!+#REF!</f>
        <v>#REF!</v>
      </c>
      <c r="I395" s="434" t="e">
        <f>#REF!+#REF!</f>
        <v>#REF!</v>
      </c>
      <c r="J395" s="434" t="e">
        <f>#REF!+#REF!</f>
        <v>#REF!</v>
      </c>
      <c r="K395" s="434" t="e">
        <f>#REF!+#REF!</f>
        <v>#REF!</v>
      </c>
      <c r="L395" s="434" t="e">
        <f>#REF!+#REF!</f>
        <v>#REF!</v>
      </c>
      <c r="M395" s="434" t="e">
        <f>#REF!+#REF!</f>
        <v>#REF!</v>
      </c>
      <c r="N395" s="434" t="e">
        <f>#REF!+#REF!</f>
        <v>#REF!</v>
      </c>
      <c r="O395" s="434" t="e">
        <f>#REF!+#REF!</f>
        <v>#REF!</v>
      </c>
      <c r="P395" s="434" t="e">
        <f>#REF!+#REF!</f>
        <v>#REF!</v>
      </c>
      <c r="Q395" s="420" t="e">
        <f>#REF!+#REF!</f>
        <v>#REF!</v>
      </c>
      <c r="R395" s="420" t="e">
        <f>#REF!+#REF!</f>
        <v>#REF!</v>
      </c>
      <c r="S395" s="420" t="e">
        <f>#REF!+#REF!</f>
        <v>#REF!</v>
      </c>
      <c r="T395" s="420" t="e">
        <f>#REF!+#REF!</f>
        <v>#REF!</v>
      </c>
      <c r="U395" s="420" t="e">
        <f>#REF!+#REF!</f>
        <v>#REF!</v>
      </c>
      <c r="V395" s="420" t="e">
        <f>#REF!+#REF!</f>
        <v>#REF!</v>
      </c>
      <c r="W395" s="420" t="e">
        <f>#REF!+#REF!</f>
        <v>#REF!</v>
      </c>
      <c r="X395" s="420" t="e">
        <f>#REF!+#REF!</f>
        <v>#REF!</v>
      </c>
      <c r="Y395" s="420" t="e">
        <f>#REF!+#REF!</f>
        <v>#REF!</v>
      </c>
      <c r="Z395" s="420" t="e">
        <f>#REF!+#REF!</f>
        <v>#REF!</v>
      </c>
      <c r="AA395" s="420" t="e">
        <f>#REF!+#REF!</f>
        <v>#REF!</v>
      </c>
      <c r="AB395" s="420" t="e">
        <f>#REF!+#REF!</f>
        <v>#REF!</v>
      </c>
      <c r="AC395" s="420" t="e">
        <f>#REF!+#REF!</f>
        <v>#REF!</v>
      </c>
      <c r="AD395" s="420" t="e">
        <f>#REF!+#REF!</f>
        <v>#REF!</v>
      </c>
      <c r="AE395" s="420" t="e">
        <f>#REF!+#REF!</f>
        <v>#REF!</v>
      </c>
      <c r="AF395" s="420" t="e">
        <f>#REF!+#REF!</f>
        <v>#REF!</v>
      </c>
      <c r="AG395" s="420" t="e">
        <f>#REF!+#REF!</f>
        <v>#REF!</v>
      </c>
      <c r="AH395" s="420" t="e">
        <f>#REF!+#REF!</f>
        <v>#REF!</v>
      </c>
      <c r="AI395" s="420" t="e">
        <f>#REF!+#REF!</f>
        <v>#REF!</v>
      </c>
      <c r="AJ395" s="420" t="e">
        <f>#REF!+#REF!</f>
        <v>#REF!</v>
      </c>
      <c r="AK395" s="420" t="e">
        <f>#REF!+#REF!</f>
        <v>#REF!</v>
      </c>
      <c r="AL395" s="420" t="e">
        <f>#REF!+#REF!</f>
        <v>#REF!</v>
      </c>
      <c r="AM395" s="420"/>
      <c r="AN395" s="420"/>
      <c r="AO395" s="426"/>
      <c r="AP395" s="420"/>
      <c r="AQ395" s="420"/>
      <c r="AR395" s="420"/>
      <c r="AS395" s="420" t="e">
        <f>#REF!+#REF!</f>
        <v>#REF!</v>
      </c>
      <c r="AT395" s="420" t="e">
        <f>#REF!+#REF!</f>
        <v>#REF!</v>
      </c>
      <c r="AU395" s="420" t="e">
        <f>#REF!+#REF!</f>
        <v>#REF!</v>
      </c>
      <c r="AV395" s="420" t="e">
        <f>#REF!+#REF!</f>
        <v>#REF!</v>
      </c>
      <c r="AW395" s="420" t="e">
        <f>#REF!+#REF!</f>
        <v>#REF!</v>
      </c>
      <c r="AX395" s="420" t="e">
        <f>#REF!+#REF!</f>
        <v>#REF!</v>
      </c>
      <c r="AY395" s="420" t="e">
        <f>#REF!+#REF!</f>
        <v>#REF!</v>
      </c>
      <c r="AZ395" s="420" t="e">
        <f>#REF!+#REF!</f>
        <v>#REF!</v>
      </c>
      <c r="BA395" s="420" t="e">
        <f>#REF!+#REF!</f>
        <v>#REF!</v>
      </c>
      <c r="BB395" s="420" t="e">
        <f>#REF!+#REF!</f>
        <v>#REF!</v>
      </c>
      <c r="BC395" s="420" t="e">
        <f>#REF!+#REF!</f>
        <v>#REF!</v>
      </c>
      <c r="BD395" s="420" t="e">
        <f>#REF!+#REF!</f>
        <v>#REF!</v>
      </c>
      <c r="BE395" s="420" t="e">
        <f>#REF!+#REF!</f>
        <v>#REF!</v>
      </c>
      <c r="BF395" s="420" t="e">
        <f>#REF!+#REF!</f>
        <v>#REF!</v>
      </c>
      <c r="BG395" s="420" t="e">
        <f>#REF!+#REF!</f>
        <v>#REF!</v>
      </c>
      <c r="BH395" s="420" t="e">
        <f>#REF!+#REF!</f>
        <v>#REF!</v>
      </c>
      <c r="BI395" s="420" t="e">
        <f>#REF!+#REF!</f>
        <v>#REF!</v>
      </c>
      <c r="BJ395" s="420" t="e">
        <f>#REF!+#REF!</f>
        <v>#REF!</v>
      </c>
      <c r="BK395" s="427"/>
      <c r="BL395" s="420" t="e">
        <f>#REF!+#REF!</f>
        <v>#REF!</v>
      </c>
      <c r="BM395" s="420"/>
      <c r="BN395" s="420"/>
      <c r="BO395" s="420"/>
      <c r="BP395" s="420"/>
      <c r="BQ395" s="420"/>
      <c r="BR395" s="420"/>
      <c r="BS395" s="420"/>
      <c r="BT395" s="420"/>
      <c r="BU395" s="420"/>
      <c r="BV395" s="420" t="e">
        <f>#REF!+#REF!</f>
        <v>#REF!</v>
      </c>
      <c r="BW395" s="420" t="e">
        <f>#REF!+#REF!</f>
        <v>#REF!</v>
      </c>
      <c r="BX395" s="420" t="e">
        <f>#REF!+#REF!</f>
        <v>#REF!</v>
      </c>
      <c r="BY395" s="420" t="e">
        <f>#REF!+#REF!</f>
        <v>#REF!</v>
      </c>
      <c r="BZ395" s="420" t="e">
        <f>#REF!+#REF!</f>
        <v>#REF!</v>
      </c>
      <c r="CA395" s="420" t="e">
        <f>#REF!+#REF!</f>
        <v>#REF!</v>
      </c>
      <c r="CB395" s="420" t="e">
        <f>#REF!+#REF!</f>
        <v>#REF!</v>
      </c>
      <c r="CC395" s="420" t="e">
        <f>#REF!+#REF!</f>
        <v>#REF!</v>
      </c>
      <c r="CD395" s="435" t="e">
        <f>#REF!+#REF!</f>
        <v>#REF!</v>
      </c>
      <c r="CE395" s="426"/>
      <c r="CF395" s="203" t="e">
        <f>#REF!+#REF!</f>
        <v>#REF!</v>
      </c>
      <c r="CG395" s="420"/>
      <c r="CH395" s="420" t="e">
        <f>#REF!+#REF!</f>
        <v>#REF!</v>
      </c>
      <c r="CI395" s="420" t="e">
        <f>#REF!+#REF!</f>
        <v>#REF!</v>
      </c>
      <c r="CJ395" s="420" t="e">
        <f>#REF!+#REF!</f>
        <v>#REF!</v>
      </c>
      <c r="CK395" s="420" t="e">
        <f>#REF!+#REF!</f>
        <v>#REF!</v>
      </c>
      <c r="CL395" s="420" t="e">
        <f>#REF!+#REF!</f>
        <v>#REF!</v>
      </c>
      <c r="CM395" s="420" t="e">
        <f>#REF!+#REF!</f>
        <v>#REF!</v>
      </c>
      <c r="CN395" s="420"/>
      <c r="CO395" s="420"/>
      <c r="CP395" s="420"/>
      <c r="CQ395" s="420" t="e">
        <f>#REF!+#REF!</f>
        <v>#REF!</v>
      </c>
      <c r="CR395" s="420" t="e">
        <f>#REF!+#REF!</f>
        <v>#REF!</v>
      </c>
      <c r="CS395" s="420" t="e">
        <f>#REF!+#REF!</f>
        <v>#REF!</v>
      </c>
      <c r="CT395" s="420" t="e">
        <f>#REF!+#REF!</f>
        <v>#REF!</v>
      </c>
      <c r="CU395" s="420" t="e">
        <f>#REF!+#REF!</f>
        <v>#REF!</v>
      </c>
      <c r="CV395" s="435" t="e">
        <f>#REF!+#REF!</f>
        <v>#REF!</v>
      </c>
      <c r="CW395" s="420">
        <f>CX395+CY395</f>
        <v>296317.40000000002</v>
      </c>
      <c r="CX395" s="435">
        <f>CX248</f>
        <v>296317.40000000002</v>
      </c>
      <c r="CY395" s="435">
        <f>CY248</f>
        <v>0</v>
      </c>
      <c r="CZ395" s="420" t="e">
        <f>#REF!+#REF!</f>
        <v>#REF!</v>
      </c>
      <c r="DA395" s="420" t="e">
        <f>#REF!+#REF!</f>
        <v>#REF!</v>
      </c>
      <c r="DB395" s="435" t="e">
        <f>#REF!+#REF!</f>
        <v>#REF!</v>
      </c>
      <c r="DC395" s="420" t="e">
        <f>#REF!+#REF!</f>
        <v>#REF!</v>
      </c>
      <c r="DD395" s="420" t="e">
        <f>#REF!+#REF!</f>
        <v>#REF!</v>
      </c>
      <c r="DE395" s="435" t="e">
        <f>#REF!+#REF!</f>
        <v>#REF!</v>
      </c>
      <c r="DF395" s="420">
        <f>DG395+DH395</f>
        <v>0</v>
      </c>
      <c r="DG395" s="435">
        <f>DG248</f>
        <v>0</v>
      </c>
      <c r="DH395" s="435">
        <f>DH248</f>
        <v>0</v>
      </c>
      <c r="DI395" s="420">
        <f>DJ395+DK395</f>
        <v>296317.40000000002</v>
      </c>
      <c r="DJ395" s="435">
        <f>DJ248</f>
        <v>296317.40000000002</v>
      </c>
      <c r="DK395" s="435">
        <f>DK248</f>
        <v>0</v>
      </c>
      <c r="DL395" s="420" t="e">
        <f>#REF!+#REF!</f>
        <v>#REF!</v>
      </c>
      <c r="DM395" s="420" t="e">
        <f>#REF!+#REF!</f>
        <v>#REF!</v>
      </c>
      <c r="DN395" s="435" t="e">
        <f>#REF!+#REF!</f>
        <v>#REF!</v>
      </c>
      <c r="DO395" s="420" t="e">
        <f>#REF!+#REF!</f>
        <v>#REF!</v>
      </c>
      <c r="DP395" s="420" t="e">
        <f>#REF!+#REF!</f>
        <v>#REF!</v>
      </c>
      <c r="DQ395" s="435" t="e">
        <f>#REF!+#REF!</f>
        <v>#REF!</v>
      </c>
      <c r="DR395" s="420" t="e">
        <f>#REF!+#REF!</f>
        <v>#REF!</v>
      </c>
      <c r="DS395" s="420" t="e">
        <f>#REF!+#REF!</f>
        <v>#REF!</v>
      </c>
      <c r="DT395" s="435" t="e">
        <f>#REF!+#REF!</f>
        <v>#REF!</v>
      </c>
      <c r="DU395" s="420" t="e">
        <f>#REF!+#REF!</f>
        <v>#REF!</v>
      </c>
      <c r="DV395" s="420" t="e">
        <f>#REF!+#REF!</f>
        <v>#REF!</v>
      </c>
      <c r="DW395" s="435" t="e">
        <f>#REF!+#REF!</f>
        <v>#REF!</v>
      </c>
      <c r="DX395" s="420" t="e">
        <f>#REF!+#REF!</f>
        <v>#REF!</v>
      </c>
      <c r="DY395" s="420" t="e">
        <f>#REF!+#REF!</f>
        <v>#REF!</v>
      </c>
      <c r="DZ395" s="435" t="e">
        <f>#REF!+#REF!</f>
        <v>#REF!</v>
      </c>
      <c r="EA395" s="420" t="e">
        <f>#REF!+#REF!</f>
        <v>#REF!</v>
      </c>
      <c r="EB395" s="420" t="e">
        <f>#REF!+#REF!</f>
        <v>#REF!</v>
      </c>
      <c r="EC395" s="435" t="e">
        <f>#REF!+#REF!</f>
        <v>#REF!</v>
      </c>
      <c r="ED395" s="420" t="e">
        <f>#REF!+#REF!</f>
        <v>#REF!</v>
      </c>
      <c r="EE395" s="420" t="e">
        <f>#REF!+#REF!</f>
        <v>#REF!</v>
      </c>
      <c r="EF395" s="435" t="e">
        <f>#REF!+#REF!</f>
        <v>#REF!</v>
      </c>
      <c r="EG395" s="420">
        <f>EH395+EI395+EJ395</f>
        <v>0</v>
      </c>
      <c r="EH395" s="420">
        <v>0</v>
      </c>
      <c r="EI395" s="420">
        <v>0</v>
      </c>
      <c r="EJ395" s="435">
        <v>0</v>
      </c>
      <c r="EK395" s="420">
        <f>EL395+EM395+EN395</f>
        <v>0</v>
      </c>
      <c r="EL395" s="420">
        <v>0</v>
      </c>
      <c r="EM395" s="420">
        <v>0</v>
      </c>
      <c r="EN395" s="435">
        <v>0</v>
      </c>
      <c r="EO395" s="420">
        <f>EP395+EQ395+ER395</f>
        <v>0</v>
      </c>
      <c r="EP395" s="420">
        <v>0</v>
      </c>
      <c r="EQ395" s="420">
        <v>0</v>
      </c>
      <c r="ER395" s="435">
        <v>0</v>
      </c>
      <c r="ES395" s="420">
        <f>ET395+EU395+EV395</f>
        <v>0</v>
      </c>
      <c r="ET395" s="420">
        <v>0</v>
      </c>
      <c r="EU395" s="420">
        <v>0</v>
      </c>
      <c r="EV395" s="435">
        <v>0</v>
      </c>
      <c r="EW395" s="420" t="e">
        <f>#REF!+#REF!</f>
        <v>#REF!</v>
      </c>
      <c r="EX395" s="420" t="e">
        <f>#REF!+#REF!</f>
        <v>#REF!</v>
      </c>
      <c r="EY395" s="435" t="e">
        <f>#REF!+#REF!</f>
        <v>#REF!</v>
      </c>
      <c r="EZ395" s="420" t="e">
        <f>#REF!+#REF!</f>
        <v>#REF!</v>
      </c>
      <c r="FA395" s="420" t="e">
        <f>#REF!+#REF!</f>
        <v>#REF!</v>
      </c>
      <c r="FB395" s="435" t="e">
        <f>#REF!+#REF!</f>
        <v>#REF!</v>
      </c>
      <c r="FC395" s="420">
        <f>FD395+FE395+FF395</f>
        <v>0</v>
      </c>
      <c r="FD395" s="420">
        <v>0</v>
      </c>
      <c r="FE395" s="420">
        <v>0</v>
      </c>
      <c r="FF395" s="435">
        <v>0</v>
      </c>
      <c r="FG395" s="420">
        <f>FH395+FI395+FJ395</f>
        <v>0</v>
      </c>
      <c r="FH395" s="420">
        <v>0</v>
      </c>
      <c r="FI395" s="420">
        <v>0</v>
      </c>
      <c r="FJ395" s="435">
        <v>0</v>
      </c>
      <c r="FK395" s="420">
        <f>FL395+FM395+FN395</f>
        <v>0</v>
      </c>
      <c r="FL395" s="420">
        <v>0</v>
      </c>
      <c r="FM395" s="420">
        <v>0</v>
      </c>
      <c r="FN395" s="435">
        <v>0</v>
      </c>
      <c r="FO395" s="420">
        <f>FP395+FQ395+FR395</f>
        <v>0</v>
      </c>
      <c r="FP395" s="420">
        <v>0</v>
      </c>
      <c r="FQ395" s="420">
        <v>0</v>
      </c>
      <c r="FR395" s="435">
        <v>0</v>
      </c>
      <c r="FS395" s="435"/>
      <c r="FT395" s="435"/>
      <c r="FU395" s="435"/>
      <c r="FV395" s="435"/>
      <c r="FW395" s="435"/>
      <c r="FX395" s="435"/>
      <c r="FY395" s="435"/>
      <c r="FZ395" s="435"/>
      <c r="GA395" s="435"/>
      <c r="GB395" s="435"/>
      <c r="GC395" s="435"/>
      <c r="GD395" s="435"/>
      <c r="GE395" s="435"/>
      <c r="GF395" s="435"/>
      <c r="GG395" s="435"/>
      <c r="GH395" s="435"/>
      <c r="GI395" s="435"/>
      <c r="GJ395" s="435"/>
      <c r="GK395" s="435"/>
      <c r="GL395" s="435"/>
      <c r="GM395" s="435"/>
      <c r="GN395" s="435"/>
      <c r="GO395" s="435"/>
      <c r="GP395" s="435"/>
      <c r="GQ395" s="435"/>
      <c r="GR395" s="435"/>
      <c r="GS395" s="435"/>
      <c r="GT395" s="435"/>
      <c r="GU395" s="420">
        <f>GV395+GW395+GX395</f>
        <v>0</v>
      </c>
      <c r="GV395" s="420">
        <v>0</v>
      </c>
      <c r="GW395" s="420">
        <v>0</v>
      </c>
      <c r="GX395" s="435">
        <v>0</v>
      </c>
      <c r="GY395" s="435"/>
      <c r="GZ395" s="435"/>
      <c r="HA395" s="435"/>
      <c r="HB395" s="435"/>
      <c r="HC395" s="435"/>
      <c r="HD395" s="435"/>
      <c r="HE395" s="435"/>
      <c r="HF395" s="435"/>
      <c r="HG395" s="420">
        <f>HH395+HI395+HJ395</f>
        <v>0</v>
      </c>
      <c r="HH395" s="420">
        <v>0</v>
      </c>
      <c r="HI395" s="420">
        <v>0</v>
      </c>
      <c r="HJ395" s="435">
        <v>0</v>
      </c>
      <c r="HK395" s="420">
        <f>HL395+HM395+HN395</f>
        <v>0</v>
      </c>
      <c r="HL395" s="420">
        <v>0</v>
      </c>
      <c r="HM395" s="420">
        <v>0</v>
      </c>
      <c r="HN395" s="435">
        <v>0</v>
      </c>
      <c r="HO395" s="420">
        <f>HP395+HQ395+HR395</f>
        <v>0</v>
      </c>
      <c r="HP395" s="420">
        <v>0</v>
      </c>
      <c r="HQ395" s="420">
        <v>0</v>
      </c>
      <c r="HR395" s="435">
        <v>0</v>
      </c>
      <c r="HS395" s="420">
        <f>HT395+HU395+HV395</f>
        <v>0</v>
      </c>
      <c r="HT395" s="420">
        <v>0</v>
      </c>
      <c r="HU395" s="420">
        <v>0</v>
      </c>
      <c r="HV395" s="435">
        <v>0</v>
      </c>
      <c r="HW395" s="420">
        <f>HX395+HY395+HZ395</f>
        <v>0</v>
      </c>
      <c r="HX395" s="420">
        <v>0</v>
      </c>
      <c r="HY395" s="420">
        <v>0</v>
      </c>
      <c r="HZ395" s="435">
        <v>0</v>
      </c>
      <c r="IA395" s="420">
        <f>IB395+IC395+ID395</f>
        <v>0</v>
      </c>
      <c r="IB395" s="420">
        <v>0</v>
      </c>
      <c r="IC395" s="420">
        <v>0</v>
      </c>
      <c r="ID395" s="435">
        <v>0</v>
      </c>
      <c r="IE395" s="420"/>
      <c r="IF395" s="141"/>
      <c r="IG395" s="141"/>
      <c r="IH395" s="141"/>
    </row>
    <row r="396" spans="2:242" s="142" customFormat="1" ht="21" hidden="1" customHeight="1" x14ac:dyDescent="0.2">
      <c r="B396" s="720" t="s">
        <v>460</v>
      </c>
      <c r="C396" s="721"/>
      <c r="D396" s="433"/>
      <c r="E396" s="434" t="e">
        <f t="shared" ref="E396:AL396" si="807">E394-E395</f>
        <v>#REF!</v>
      </c>
      <c r="F396" s="434" t="e">
        <f t="shared" si="807"/>
        <v>#REF!</v>
      </c>
      <c r="G396" s="434" t="e">
        <f t="shared" si="807"/>
        <v>#REF!</v>
      </c>
      <c r="H396" s="434" t="e">
        <f t="shared" si="807"/>
        <v>#REF!</v>
      </c>
      <c r="I396" s="434" t="e">
        <f t="shared" si="807"/>
        <v>#REF!</v>
      </c>
      <c r="J396" s="434" t="e">
        <f t="shared" si="807"/>
        <v>#REF!</v>
      </c>
      <c r="K396" s="434" t="e">
        <f t="shared" si="807"/>
        <v>#REF!</v>
      </c>
      <c r="L396" s="434" t="e">
        <f t="shared" si="807"/>
        <v>#REF!</v>
      </c>
      <c r="M396" s="434" t="e">
        <f t="shared" si="807"/>
        <v>#REF!</v>
      </c>
      <c r="N396" s="434" t="e">
        <f t="shared" si="807"/>
        <v>#REF!</v>
      </c>
      <c r="O396" s="434" t="e">
        <f t="shared" si="807"/>
        <v>#REF!</v>
      </c>
      <c r="P396" s="434" t="e">
        <f t="shared" si="807"/>
        <v>#REF!</v>
      </c>
      <c r="Q396" s="420" t="e">
        <f t="shared" si="807"/>
        <v>#REF!</v>
      </c>
      <c r="R396" s="420" t="e">
        <f t="shared" si="807"/>
        <v>#REF!</v>
      </c>
      <c r="S396" s="420" t="e">
        <f t="shared" si="807"/>
        <v>#REF!</v>
      </c>
      <c r="T396" s="420" t="e">
        <f t="shared" si="807"/>
        <v>#REF!</v>
      </c>
      <c r="U396" s="420" t="e">
        <f t="shared" si="807"/>
        <v>#REF!</v>
      </c>
      <c r="V396" s="420" t="e">
        <f t="shared" si="807"/>
        <v>#REF!</v>
      </c>
      <c r="W396" s="420" t="e">
        <f t="shared" si="807"/>
        <v>#REF!</v>
      </c>
      <c r="X396" s="420" t="e">
        <f t="shared" si="807"/>
        <v>#REF!</v>
      </c>
      <c r="Y396" s="420" t="e">
        <f t="shared" si="807"/>
        <v>#REF!</v>
      </c>
      <c r="Z396" s="420" t="e">
        <f t="shared" si="807"/>
        <v>#REF!</v>
      </c>
      <c r="AA396" s="420" t="e">
        <f t="shared" si="807"/>
        <v>#REF!</v>
      </c>
      <c r="AB396" s="420" t="e">
        <f t="shared" si="807"/>
        <v>#REF!</v>
      </c>
      <c r="AC396" s="420" t="e">
        <f t="shared" si="807"/>
        <v>#REF!</v>
      </c>
      <c r="AD396" s="420" t="e">
        <f t="shared" si="807"/>
        <v>#REF!</v>
      </c>
      <c r="AE396" s="420" t="e">
        <f t="shared" si="807"/>
        <v>#REF!</v>
      </c>
      <c r="AF396" s="420" t="e">
        <f t="shared" si="807"/>
        <v>#REF!</v>
      </c>
      <c r="AG396" s="420" t="e">
        <f t="shared" si="807"/>
        <v>#REF!</v>
      </c>
      <c r="AH396" s="420" t="e">
        <f t="shared" si="807"/>
        <v>#REF!</v>
      </c>
      <c r="AI396" s="420" t="e">
        <f t="shared" si="807"/>
        <v>#REF!</v>
      </c>
      <c r="AJ396" s="420" t="e">
        <f t="shared" si="807"/>
        <v>#REF!</v>
      </c>
      <c r="AK396" s="420" t="e">
        <f t="shared" si="807"/>
        <v>#REF!</v>
      </c>
      <c r="AL396" s="420" t="e">
        <f t="shared" si="807"/>
        <v>#REF!</v>
      </c>
      <c r="AM396" s="420"/>
      <c r="AN396" s="420"/>
      <c r="AO396" s="426"/>
      <c r="AP396" s="420"/>
      <c r="AQ396" s="420"/>
      <c r="AR396" s="420"/>
      <c r="AS396" s="420" t="e">
        <f t="shared" ref="AS396:BJ396" si="808">AS394-AS395</f>
        <v>#REF!</v>
      </c>
      <c r="AT396" s="420" t="e">
        <f t="shared" si="808"/>
        <v>#REF!</v>
      </c>
      <c r="AU396" s="420" t="e">
        <f t="shared" si="808"/>
        <v>#REF!</v>
      </c>
      <c r="AV396" s="420" t="e">
        <f t="shared" si="808"/>
        <v>#REF!</v>
      </c>
      <c r="AW396" s="420" t="e">
        <f t="shared" si="808"/>
        <v>#REF!</v>
      </c>
      <c r="AX396" s="420" t="e">
        <f t="shared" si="808"/>
        <v>#REF!</v>
      </c>
      <c r="AY396" s="420" t="e">
        <f t="shared" si="808"/>
        <v>#REF!</v>
      </c>
      <c r="AZ396" s="420" t="e">
        <f t="shared" si="808"/>
        <v>#REF!</v>
      </c>
      <c r="BA396" s="420" t="e">
        <f t="shared" si="808"/>
        <v>#REF!</v>
      </c>
      <c r="BB396" s="420" t="e">
        <f t="shared" si="808"/>
        <v>#REF!</v>
      </c>
      <c r="BC396" s="420" t="e">
        <f t="shared" si="808"/>
        <v>#REF!</v>
      </c>
      <c r="BD396" s="420" t="e">
        <f t="shared" si="808"/>
        <v>#REF!</v>
      </c>
      <c r="BE396" s="420" t="e">
        <f t="shared" si="808"/>
        <v>#REF!</v>
      </c>
      <c r="BF396" s="420" t="e">
        <f t="shared" si="808"/>
        <v>#REF!</v>
      </c>
      <c r="BG396" s="420" t="e">
        <f t="shared" si="808"/>
        <v>#REF!</v>
      </c>
      <c r="BH396" s="420" t="e">
        <f t="shared" si="808"/>
        <v>#REF!</v>
      </c>
      <c r="BI396" s="420" t="e">
        <f t="shared" si="808"/>
        <v>#REF!</v>
      </c>
      <c r="BJ396" s="420" t="e">
        <f t="shared" si="808"/>
        <v>#REF!</v>
      </c>
      <c r="BK396" s="427"/>
      <c r="BL396" s="420" t="e">
        <f>BL394-BL395</f>
        <v>#REF!</v>
      </c>
      <c r="BM396" s="420"/>
      <c r="BN396" s="420"/>
      <c r="BO396" s="420"/>
      <c r="BP396" s="420"/>
      <c r="BQ396" s="420"/>
      <c r="BR396" s="420"/>
      <c r="BS396" s="420"/>
      <c r="BT396" s="420"/>
      <c r="BU396" s="420"/>
      <c r="BV396" s="420" t="e">
        <f t="shared" ref="BV396:CA396" si="809">BV394-BV395</f>
        <v>#REF!</v>
      </c>
      <c r="BW396" s="420" t="e">
        <f t="shared" si="809"/>
        <v>#REF!</v>
      </c>
      <c r="BX396" s="420" t="e">
        <f t="shared" si="809"/>
        <v>#REF!</v>
      </c>
      <c r="BY396" s="420" t="e">
        <f t="shared" si="809"/>
        <v>#REF!</v>
      </c>
      <c r="BZ396" s="420" t="e">
        <f t="shared" si="809"/>
        <v>#REF!</v>
      </c>
      <c r="CA396" s="420" t="e">
        <f t="shared" si="809"/>
        <v>#REF!</v>
      </c>
      <c r="CB396" s="420" t="e">
        <f>CC396+CD396</f>
        <v>#REF!</v>
      </c>
      <c r="CC396" s="420" t="e">
        <f>CC355+CC361</f>
        <v>#REF!</v>
      </c>
      <c r="CD396" s="420" t="e">
        <f>CD355+CD361</f>
        <v>#REF!</v>
      </c>
      <c r="CE396" s="426"/>
      <c r="CF396" s="203" t="e">
        <f>CF394-CF395</f>
        <v>#REF!</v>
      </c>
      <c r="CG396" s="420"/>
      <c r="CH396" s="420" t="e">
        <f t="shared" ref="CH396:CM396" si="810">CH394-CH395</f>
        <v>#REF!</v>
      </c>
      <c r="CI396" s="420" t="e">
        <f t="shared" si="810"/>
        <v>#REF!</v>
      </c>
      <c r="CJ396" s="420" t="e">
        <f t="shared" si="810"/>
        <v>#REF!</v>
      </c>
      <c r="CK396" s="420" t="e">
        <f t="shared" si="810"/>
        <v>#REF!</v>
      </c>
      <c r="CL396" s="420" t="e">
        <f t="shared" si="810"/>
        <v>#REF!</v>
      </c>
      <c r="CM396" s="420" t="e">
        <f t="shared" si="810"/>
        <v>#REF!</v>
      </c>
      <c r="CN396" s="420"/>
      <c r="CO396" s="420"/>
      <c r="CP396" s="420"/>
      <c r="CQ396" s="420" t="e">
        <f>CQ394-CQ395</f>
        <v>#REF!</v>
      </c>
      <c r="CR396" s="420" t="e">
        <f>CR394-CR395</f>
        <v>#REF!</v>
      </c>
      <c r="CS396" s="420" t="e">
        <f>CS394-CS395</f>
        <v>#REF!</v>
      </c>
      <c r="CT396" s="420" t="e">
        <f>CU396+CV396</f>
        <v>#REF!</v>
      </c>
      <c r="CU396" s="420" t="e">
        <f>CU355+CU361</f>
        <v>#REF!</v>
      </c>
      <c r="CV396" s="420" t="e">
        <f>CV355+CV361</f>
        <v>#REF!</v>
      </c>
      <c r="CW396" s="420" t="e">
        <f>CX396+CY396</f>
        <v>#REF!</v>
      </c>
      <c r="CX396" s="420">
        <f>CX357+CX361</f>
        <v>0</v>
      </c>
      <c r="CY396" s="420" t="e">
        <f>CY357+CY361</f>
        <v>#REF!</v>
      </c>
      <c r="CZ396" s="420" t="e">
        <f>DA396+DB396</f>
        <v>#REF!</v>
      </c>
      <c r="DA396" s="420" t="e">
        <f>DA355+DA361</f>
        <v>#REF!</v>
      </c>
      <c r="DB396" s="420" t="e">
        <f>DB355+DB361</f>
        <v>#REF!</v>
      </c>
      <c r="DC396" s="420">
        <f>DD396+DE396</f>
        <v>728505.35063999996</v>
      </c>
      <c r="DD396" s="420">
        <f>DD355+DD361</f>
        <v>348155.35063999996</v>
      </c>
      <c r="DE396" s="420">
        <f>DE355+DE361</f>
        <v>380350</v>
      </c>
      <c r="DF396" s="420" t="e">
        <f>DG396+DH396</f>
        <v>#REF!</v>
      </c>
      <c r="DG396" s="420">
        <f>DG357+DG361</f>
        <v>0</v>
      </c>
      <c r="DH396" s="420" t="e">
        <f>DH357+DH361</f>
        <v>#REF!</v>
      </c>
      <c r="DI396" s="420" t="e">
        <f>DJ396+DK396</f>
        <v>#REF!</v>
      </c>
      <c r="DJ396" s="420">
        <f>DJ357+DJ361</f>
        <v>0</v>
      </c>
      <c r="DK396" s="420" t="e">
        <f>DK357+DK361</f>
        <v>#REF!</v>
      </c>
      <c r="DL396" s="420" t="e">
        <f>DM396+DN396</f>
        <v>#REF!</v>
      </c>
      <c r="DM396" s="420" t="e">
        <f>DM355+DM361</f>
        <v>#REF!</v>
      </c>
      <c r="DN396" s="420" t="e">
        <f>DN355+DN361</f>
        <v>#REF!</v>
      </c>
      <c r="DO396" s="420" t="e">
        <f>DP396+DQ396</f>
        <v>#REF!</v>
      </c>
      <c r="DP396" s="420" t="e">
        <f>DP355+DP361</f>
        <v>#REF!</v>
      </c>
      <c r="DQ396" s="420" t="e">
        <f>DQ355+DQ361</f>
        <v>#REF!</v>
      </c>
      <c r="DR396" s="420" t="e">
        <f>DS396+DT396</f>
        <v>#REF!</v>
      </c>
      <c r="DS396" s="420" t="e">
        <f>DS355+DS361</f>
        <v>#REF!</v>
      </c>
      <c r="DT396" s="420" t="e">
        <f>DT355+DT361</f>
        <v>#REF!</v>
      </c>
      <c r="DU396" s="420" t="e">
        <f>DV396+DW396</f>
        <v>#REF!</v>
      </c>
      <c r="DV396" s="420" t="e">
        <f>DV355+DV361</f>
        <v>#REF!</v>
      </c>
      <c r="DW396" s="420" t="e">
        <f>DW355+DW361</f>
        <v>#REF!</v>
      </c>
      <c r="DX396" s="420" t="e">
        <f>DY396+DZ396</f>
        <v>#REF!</v>
      </c>
      <c r="DY396" s="420" t="e">
        <f>DY355+DY361</f>
        <v>#REF!</v>
      </c>
      <c r="DZ396" s="420" t="e">
        <f>DZ355+DZ361</f>
        <v>#REF!</v>
      </c>
      <c r="EA396" s="420">
        <f>EB396+EC396</f>
        <v>1170129.6810599999</v>
      </c>
      <c r="EB396" s="420">
        <f>EB355+EB361</f>
        <v>726987.68105999997</v>
      </c>
      <c r="EC396" s="420">
        <f>EC355+EC361</f>
        <v>443142</v>
      </c>
      <c r="ED396" s="420" t="e">
        <f>EE396+EF396</f>
        <v>#REF!</v>
      </c>
      <c r="EE396" s="420" t="e">
        <f>EE355+EE361</f>
        <v>#REF!</v>
      </c>
      <c r="EF396" s="420" t="e">
        <f>EF355+EF361</f>
        <v>#REF!</v>
      </c>
      <c r="EG396" s="420" t="e">
        <f>EH396+EJ396</f>
        <v>#REF!</v>
      </c>
      <c r="EH396" s="420" t="e">
        <f>EH355+EH361</f>
        <v>#REF!</v>
      </c>
      <c r="EI396" s="420">
        <f>EI355+EI361</f>
        <v>639535.67071999994</v>
      </c>
      <c r="EJ396" s="420" t="e">
        <f>EJ355+EJ361</f>
        <v>#REF!</v>
      </c>
      <c r="EK396" s="420" t="e">
        <f>EL396+EN396</f>
        <v>#REF!</v>
      </c>
      <c r="EL396" s="420" t="e">
        <f>EL355+EL361</f>
        <v>#REF!</v>
      </c>
      <c r="EM396" s="420" t="e">
        <f>EM355+EM361</f>
        <v>#REF!</v>
      </c>
      <c r="EN396" s="420" t="e">
        <f>EN355+EN361</f>
        <v>#REF!</v>
      </c>
      <c r="EO396" s="420" t="e">
        <f>EP396+ER396</f>
        <v>#REF!</v>
      </c>
      <c r="EP396" s="420" t="e">
        <f>EP355+EP361</f>
        <v>#REF!</v>
      </c>
      <c r="EQ396" s="420" t="e">
        <f>EQ355+EQ361</f>
        <v>#REF!</v>
      </c>
      <c r="ER396" s="420" t="e">
        <f>ER355+ER361</f>
        <v>#REF!</v>
      </c>
      <c r="ES396" s="420" t="e">
        <f>ET396+EV396</f>
        <v>#REF!</v>
      </c>
      <c r="ET396" s="420" t="e">
        <f>ET355+ET361</f>
        <v>#REF!</v>
      </c>
      <c r="EU396" s="420">
        <f>EU355+EU361</f>
        <v>-200912.7696</v>
      </c>
      <c r="EV396" s="420" t="e">
        <f>EV355+EV361</f>
        <v>#REF!</v>
      </c>
      <c r="EW396" s="420" t="e">
        <f>EX396+EY396</f>
        <v>#REF!</v>
      </c>
      <c r="EX396" s="420" t="e">
        <f>EX355+EX361</f>
        <v>#REF!</v>
      </c>
      <c r="EY396" s="420" t="e">
        <f>EY355+EY361</f>
        <v>#REF!</v>
      </c>
      <c r="EZ396" s="420" t="e">
        <f>FA396+FB396</f>
        <v>#REF!</v>
      </c>
      <c r="FA396" s="420" t="e">
        <f>FA355+FA361</f>
        <v>#REF!</v>
      </c>
      <c r="FB396" s="420">
        <f>FB355+FB361</f>
        <v>260607.51318000001</v>
      </c>
      <c r="FC396" s="420">
        <f>FD396+FF396</f>
        <v>18164982.414080001</v>
      </c>
      <c r="FD396" s="420">
        <f>FD355+FD361</f>
        <v>16297088.05641</v>
      </c>
      <c r="FE396" s="420">
        <f>FE355+FE361</f>
        <v>438079.28591999999</v>
      </c>
      <c r="FF396" s="420">
        <f>FF355+FF361</f>
        <v>1867894.3576700001</v>
      </c>
      <c r="FG396" s="420" t="e">
        <f>FH396+FJ396</f>
        <v>#REF!</v>
      </c>
      <c r="FH396" s="420" t="e">
        <f>FH355+FH361</f>
        <v>#REF!</v>
      </c>
      <c r="FI396" s="420">
        <f>FI355+FI361</f>
        <v>543.61520000000019</v>
      </c>
      <c r="FJ396" s="420">
        <f>FJ355+FJ361</f>
        <v>82541.089620000028</v>
      </c>
      <c r="FK396" s="420" t="e">
        <f>FL396+FN396</f>
        <v>#REF!</v>
      </c>
      <c r="FL396" s="420" t="e">
        <f>FL355+FL361</f>
        <v>#REF!</v>
      </c>
      <c r="FM396" s="420" t="e">
        <f>FM355+FM361</f>
        <v>#REF!</v>
      </c>
      <c r="FN396" s="420" t="e">
        <f>FN355+FN361</f>
        <v>#REF!</v>
      </c>
      <c r="FO396" s="420">
        <f>FP396+FR396</f>
        <v>14232109.89096</v>
      </c>
      <c r="FP396" s="420">
        <f>FP355+FP361</f>
        <v>12403295.17331</v>
      </c>
      <c r="FQ396" s="420">
        <f>FQ355+FQ361</f>
        <v>438622.90111999999</v>
      </c>
      <c r="FR396" s="420">
        <f>FR355+FR361</f>
        <v>1828814.7176500002</v>
      </c>
      <c r="FS396" s="420"/>
      <c r="FT396" s="420"/>
      <c r="FU396" s="420"/>
      <c r="FV396" s="420"/>
      <c r="FW396" s="420"/>
      <c r="FX396" s="420"/>
      <c r="FY396" s="420"/>
      <c r="FZ396" s="420"/>
      <c r="GA396" s="420"/>
      <c r="GB396" s="420"/>
      <c r="GC396" s="420"/>
      <c r="GD396" s="420"/>
      <c r="GE396" s="420"/>
      <c r="GF396" s="420"/>
      <c r="GG396" s="420"/>
      <c r="GH396" s="420"/>
      <c r="GI396" s="420"/>
      <c r="GJ396" s="420"/>
      <c r="GK396" s="420"/>
      <c r="GL396" s="420"/>
      <c r="GM396" s="420"/>
      <c r="GN396" s="420"/>
      <c r="GO396" s="420"/>
      <c r="GP396" s="420"/>
      <c r="GQ396" s="420"/>
      <c r="GR396" s="420"/>
      <c r="GS396" s="420"/>
      <c r="GT396" s="420"/>
      <c r="GU396" s="420" t="e">
        <f>GV396+GX396</f>
        <v>#REF!</v>
      </c>
      <c r="GV396" s="420" t="e">
        <f>GV355+GV361</f>
        <v>#REF!</v>
      </c>
      <c r="GW396" s="420">
        <f>GW355+GW361</f>
        <v>680085.67045999994</v>
      </c>
      <c r="GX396" s="420" t="e">
        <f>GX355+GX361</f>
        <v>#REF!</v>
      </c>
      <c r="GY396" s="420"/>
      <c r="GZ396" s="420"/>
      <c r="HA396" s="420"/>
      <c r="HB396" s="420"/>
      <c r="HC396" s="420"/>
      <c r="HD396" s="420"/>
      <c r="HE396" s="420"/>
      <c r="HF396" s="420"/>
      <c r="HG396" s="420" t="e">
        <f>HH396+HJ396</f>
        <v>#REF!</v>
      </c>
      <c r="HH396" s="420" t="e">
        <f>HH355+HH361</f>
        <v>#REF!</v>
      </c>
      <c r="HI396" s="420">
        <f>HI355+HI361</f>
        <v>0</v>
      </c>
      <c r="HJ396" s="420" t="e">
        <f>HJ355+HJ361</f>
        <v>#REF!</v>
      </c>
      <c r="HK396" s="420" t="e">
        <f>HL396+HN396</f>
        <v>#REF!</v>
      </c>
      <c r="HL396" s="420" t="e">
        <f>HL355+HL361</f>
        <v>#REF!</v>
      </c>
      <c r="HM396" s="420">
        <f>HM355+HM361</f>
        <v>0</v>
      </c>
      <c r="HN396" s="420" t="e">
        <f>HN355+HN361</f>
        <v>#REF!</v>
      </c>
      <c r="HO396" s="420" t="e">
        <f>HP396+HR396</f>
        <v>#REF!</v>
      </c>
      <c r="HP396" s="420" t="e">
        <f>HP355+HP361</f>
        <v>#REF!</v>
      </c>
      <c r="HQ396" s="420">
        <f>HQ355+HQ361</f>
        <v>680085.67045999994</v>
      </c>
      <c r="HR396" s="420">
        <f>HR355+HR361</f>
        <v>1548502.45618</v>
      </c>
      <c r="HS396" s="420" t="e">
        <f>HT396+HV396</f>
        <v>#REF!</v>
      </c>
      <c r="HT396" s="420" t="e">
        <f>HT355+HT361</f>
        <v>#REF!</v>
      </c>
      <c r="HU396" s="420">
        <f>HU355+HU361</f>
        <v>876341.19415</v>
      </c>
      <c r="HV396" s="420" t="e">
        <f>HV355+HV361</f>
        <v>#REF!</v>
      </c>
      <c r="HW396" s="420" t="e">
        <f>HX396+HZ396</f>
        <v>#REF!</v>
      </c>
      <c r="HX396" s="420" t="e">
        <f>HX355+HX361</f>
        <v>#REF!</v>
      </c>
      <c r="HY396" s="420">
        <f>HY355+HY361</f>
        <v>0</v>
      </c>
      <c r="HZ396" s="420" t="e">
        <f>HZ355+HZ361</f>
        <v>#REF!</v>
      </c>
      <c r="IA396" s="420" t="e">
        <f>IB396+ID396</f>
        <v>#REF!</v>
      </c>
      <c r="IB396" s="420" t="e">
        <f>IB355+IB361</f>
        <v>#REF!</v>
      </c>
      <c r="IC396" s="420">
        <f>IC355+IC361</f>
        <v>876341.19415</v>
      </c>
      <c r="ID396" s="420" t="e">
        <f>ID355+ID361</f>
        <v>#REF!</v>
      </c>
      <c r="IE396" s="420"/>
      <c r="IF396" s="141"/>
      <c r="IG396" s="141"/>
      <c r="IH396" s="141"/>
    </row>
    <row r="397" spans="2:242" s="142" customFormat="1" ht="41.25" hidden="1" customHeight="1" thickBot="1" x14ac:dyDescent="0.25">
      <c r="B397" s="761" t="s">
        <v>461</v>
      </c>
      <c r="C397" s="762"/>
      <c r="D397" s="436"/>
      <c r="E397" s="437" t="e">
        <f>E359+E361+#REF!+#REF!</f>
        <v>#REF!</v>
      </c>
      <c r="F397" s="437"/>
      <c r="G397" s="437" t="e">
        <f>G359+G361+#REF!+#REF!</f>
        <v>#REF!</v>
      </c>
      <c r="H397" s="437" t="e">
        <f>H359+H361+#REF!+#REF!</f>
        <v>#REF!</v>
      </c>
      <c r="I397" s="437"/>
      <c r="J397" s="437" t="e">
        <f>J359+J361+#REF!+#REF!</f>
        <v>#REF!</v>
      </c>
      <c r="K397" s="437" t="e">
        <f>K359+K361+#REF!+#REF!</f>
        <v>#REF!</v>
      </c>
      <c r="L397" s="437"/>
      <c r="M397" s="437" t="e">
        <f>M359+M361+#REF!+#REF!</f>
        <v>#REF!</v>
      </c>
      <c r="N397" s="437" t="e">
        <f>N359+N361+#REF!+#REF!</f>
        <v>#REF!</v>
      </c>
      <c r="O397" s="437"/>
      <c r="P397" s="437" t="e">
        <f>P359+P361+#REF!+#REF!</f>
        <v>#REF!</v>
      </c>
      <c r="Q397" s="438" t="e">
        <f>Q359+Q361+#REF!+#REF!</f>
        <v>#REF!</v>
      </c>
      <c r="R397" s="438"/>
      <c r="S397" s="438" t="e">
        <f>S359+S361+#REF!+#REF!</f>
        <v>#REF!</v>
      </c>
      <c r="T397" s="438" t="e">
        <f>T359+T361+#REF!+#REF!</f>
        <v>#REF!</v>
      </c>
      <c r="U397" s="438" t="e">
        <f>U359+U361+#REF!+#REF!</f>
        <v>#REF!</v>
      </c>
      <c r="V397" s="438" t="e">
        <f>V359+V361+#REF!+#REF!</f>
        <v>#REF!</v>
      </c>
      <c r="W397" s="438" t="e">
        <f>W359+W361+#REF!+#REF!</f>
        <v>#REF!</v>
      </c>
      <c r="X397" s="438" t="e">
        <f>X359+X361+#REF!+#REF!</f>
        <v>#REF!</v>
      </c>
      <c r="Y397" s="438" t="e">
        <f>Y359+Y361+#REF!+#REF!</f>
        <v>#REF!</v>
      </c>
      <c r="Z397" s="438">
        <f t="shared" ref="Z397:AN397" si="811">Z359+Z361</f>
        <v>683000</v>
      </c>
      <c r="AA397" s="438">
        <f t="shared" si="811"/>
        <v>0</v>
      </c>
      <c r="AB397" s="438">
        <f t="shared" si="811"/>
        <v>683000</v>
      </c>
      <c r="AC397" s="438">
        <f t="shared" si="811"/>
        <v>0</v>
      </c>
      <c r="AD397" s="438">
        <f t="shared" si="811"/>
        <v>0</v>
      </c>
      <c r="AE397" s="438">
        <f t="shared" si="811"/>
        <v>0</v>
      </c>
      <c r="AF397" s="438" t="e">
        <f t="shared" si="811"/>
        <v>#REF!</v>
      </c>
      <c r="AG397" s="438">
        <f t="shared" si="811"/>
        <v>0</v>
      </c>
      <c r="AH397" s="438" t="e">
        <f t="shared" si="811"/>
        <v>#REF!</v>
      </c>
      <c r="AI397" s="438">
        <f t="shared" si="811"/>
        <v>0</v>
      </c>
      <c r="AJ397" s="438" t="e">
        <f t="shared" si="811"/>
        <v>#REF!</v>
      </c>
      <c r="AK397" s="438" t="e">
        <f t="shared" si="811"/>
        <v>#REF!</v>
      </c>
      <c r="AL397" s="438" t="e">
        <f t="shared" si="811"/>
        <v>#REF!</v>
      </c>
      <c r="AM397" s="438" t="e">
        <f t="shared" si="811"/>
        <v>#VALUE!</v>
      </c>
      <c r="AN397" s="438" t="e">
        <f t="shared" si="811"/>
        <v>#VALUE!</v>
      </c>
      <c r="AO397" s="439">
        <v>1</v>
      </c>
      <c r="AP397" s="438">
        <f t="shared" ref="AP397:BA397" si="812">AP359+AP361</f>
        <v>0</v>
      </c>
      <c r="AQ397" s="438">
        <f t="shared" si="812"/>
        <v>0</v>
      </c>
      <c r="AR397" s="438" t="e">
        <f t="shared" si="812"/>
        <v>#REF!</v>
      </c>
      <c r="AS397" s="438">
        <f t="shared" si="812"/>
        <v>448761.3</v>
      </c>
      <c r="AT397" s="438" t="e">
        <f t="shared" si="812"/>
        <v>#REF!</v>
      </c>
      <c r="AU397" s="438">
        <f t="shared" si="812"/>
        <v>448761.3</v>
      </c>
      <c r="AV397" s="438" t="e">
        <f t="shared" si="812"/>
        <v>#REF!</v>
      </c>
      <c r="AW397" s="438">
        <f t="shared" si="812"/>
        <v>0</v>
      </c>
      <c r="AX397" s="438" t="e">
        <f t="shared" si="812"/>
        <v>#REF!</v>
      </c>
      <c r="AY397" s="438" t="e">
        <f t="shared" si="812"/>
        <v>#REF!</v>
      </c>
      <c r="AZ397" s="438" t="e">
        <f t="shared" si="812"/>
        <v>#REF!</v>
      </c>
      <c r="BA397" s="438" t="e">
        <f t="shared" si="812"/>
        <v>#REF!</v>
      </c>
      <c r="BB397" s="438" t="e">
        <f>BB359+BB361+#REF!+#REF!</f>
        <v>#REF!</v>
      </c>
      <c r="BC397" s="438" t="e">
        <f>BC359+BC361+#REF!+#REF!</f>
        <v>#REF!</v>
      </c>
      <c r="BD397" s="438" t="e">
        <f>BD359+BD361+#REF!+#REF!</f>
        <v>#REF!</v>
      </c>
      <c r="BE397" s="438" t="e">
        <f>BE359+BE361+#REF!+#REF!</f>
        <v>#REF!</v>
      </c>
      <c r="BF397" s="438" t="e">
        <f>BF359+BF361+#REF!+#REF!</f>
        <v>#REF!</v>
      </c>
      <c r="BG397" s="438" t="e">
        <f>BG359+BG361+#REF!+#REF!</f>
        <v>#REF!</v>
      </c>
      <c r="BH397" s="438" t="e">
        <f>BH359+BH361</f>
        <v>#REF!</v>
      </c>
      <c r="BI397" s="438" t="e">
        <f>BI359+BI361</f>
        <v>#REF!</v>
      </c>
      <c r="BJ397" s="438" t="e">
        <f>BJ359+BJ361</f>
        <v>#REF!</v>
      </c>
      <c r="BK397" s="440">
        <v>1</v>
      </c>
      <c r="BL397" s="438" t="e">
        <f>BL359+BL361</f>
        <v>#REF!</v>
      </c>
      <c r="BM397" s="438"/>
      <c r="BN397" s="438"/>
      <c r="BO397" s="438"/>
      <c r="BP397" s="438"/>
      <c r="BQ397" s="438"/>
      <c r="BR397" s="438"/>
      <c r="BS397" s="438"/>
      <c r="BT397" s="438"/>
      <c r="BU397" s="438"/>
      <c r="BV397" s="438" t="e">
        <f t="shared" ref="BV397:CD397" si="813">BV359+BV361</f>
        <v>#REF!</v>
      </c>
      <c r="BW397" s="438">
        <f t="shared" si="813"/>
        <v>0</v>
      </c>
      <c r="BX397" s="438" t="e">
        <f t="shared" si="813"/>
        <v>#REF!</v>
      </c>
      <c r="BY397" s="438" t="e">
        <f t="shared" si="813"/>
        <v>#REF!</v>
      </c>
      <c r="BZ397" s="438">
        <f t="shared" si="813"/>
        <v>0</v>
      </c>
      <c r="CA397" s="438" t="e">
        <f t="shared" si="813"/>
        <v>#REF!</v>
      </c>
      <c r="CB397" s="438" t="e">
        <f t="shared" si="813"/>
        <v>#REF!</v>
      </c>
      <c r="CC397" s="438">
        <f t="shared" si="813"/>
        <v>0</v>
      </c>
      <c r="CD397" s="438" t="e">
        <f t="shared" si="813"/>
        <v>#REF!</v>
      </c>
      <c r="CE397" s="439">
        <v>1</v>
      </c>
      <c r="CF397" s="441" t="e">
        <f>CF359+CF361</f>
        <v>#REF!</v>
      </c>
      <c r="CG397" s="438"/>
      <c r="CH397" s="438" t="e">
        <f t="shared" ref="CH397:CM397" si="814">CH359+CH361</f>
        <v>#REF!</v>
      </c>
      <c r="CI397" s="438" t="e">
        <f t="shared" si="814"/>
        <v>#REF!</v>
      </c>
      <c r="CJ397" s="438" t="e">
        <f t="shared" si="814"/>
        <v>#REF!</v>
      </c>
      <c r="CK397" s="438" t="e">
        <f t="shared" si="814"/>
        <v>#REF!</v>
      </c>
      <c r="CL397" s="438" t="e">
        <f t="shared" si="814"/>
        <v>#REF!</v>
      </c>
      <c r="CM397" s="438" t="e">
        <f t="shared" si="814"/>
        <v>#REF!</v>
      </c>
      <c r="CN397" s="438"/>
      <c r="CO397" s="438"/>
      <c r="CP397" s="438"/>
      <c r="CQ397" s="438" t="e">
        <f t="shared" ref="CQ397:EF397" si="815">CQ359+CQ361</f>
        <v>#REF!</v>
      </c>
      <c r="CR397" s="438" t="e">
        <f t="shared" si="815"/>
        <v>#REF!</v>
      </c>
      <c r="CS397" s="438" t="e">
        <f t="shared" si="815"/>
        <v>#REF!</v>
      </c>
      <c r="CT397" s="438" t="e">
        <f t="shared" si="815"/>
        <v>#REF!</v>
      </c>
      <c r="CU397" s="438">
        <f t="shared" si="815"/>
        <v>0</v>
      </c>
      <c r="CV397" s="438" t="e">
        <f t="shared" si="815"/>
        <v>#REF!</v>
      </c>
      <c r="CW397" s="438" t="e">
        <f t="shared" si="815"/>
        <v>#REF!</v>
      </c>
      <c r="CX397" s="438">
        <f t="shared" si="815"/>
        <v>0</v>
      </c>
      <c r="CY397" s="438" t="e">
        <f t="shared" si="815"/>
        <v>#REF!</v>
      </c>
      <c r="CZ397" s="438" t="e">
        <f t="shared" si="815"/>
        <v>#REF!</v>
      </c>
      <c r="DA397" s="438">
        <f t="shared" si="815"/>
        <v>0</v>
      </c>
      <c r="DB397" s="438" t="e">
        <f t="shared" si="815"/>
        <v>#REF!</v>
      </c>
      <c r="DC397" s="438">
        <f t="shared" si="815"/>
        <v>380350</v>
      </c>
      <c r="DD397" s="438">
        <f t="shared" si="815"/>
        <v>0</v>
      </c>
      <c r="DE397" s="438">
        <f t="shared" si="815"/>
        <v>380350</v>
      </c>
      <c r="DF397" s="438" t="e">
        <f t="shared" si="815"/>
        <v>#REF!</v>
      </c>
      <c r="DG397" s="438">
        <f t="shared" si="815"/>
        <v>0</v>
      </c>
      <c r="DH397" s="438" t="e">
        <f t="shared" si="815"/>
        <v>#REF!</v>
      </c>
      <c r="DI397" s="438" t="e">
        <f t="shared" si="815"/>
        <v>#REF!</v>
      </c>
      <c r="DJ397" s="438">
        <f t="shared" si="815"/>
        <v>0</v>
      </c>
      <c r="DK397" s="438" t="e">
        <f t="shared" si="815"/>
        <v>#REF!</v>
      </c>
      <c r="DL397" s="438" t="e">
        <f t="shared" si="815"/>
        <v>#REF!</v>
      </c>
      <c r="DM397" s="438">
        <f t="shared" si="815"/>
        <v>0</v>
      </c>
      <c r="DN397" s="438" t="e">
        <f t="shared" si="815"/>
        <v>#REF!</v>
      </c>
      <c r="DO397" s="438" t="e">
        <f t="shared" si="815"/>
        <v>#REF!</v>
      </c>
      <c r="DP397" s="438">
        <f t="shared" si="815"/>
        <v>0</v>
      </c>
      <c r="DQ397" s="438" t="e">
        <f t="shared" si="815"/>
        <v>#REF!</v>
      </c>
      <c r="DR397" s="438" t="e">
        <f t="shared" si="815"/>
        <v>#REF!</v>
      </c>
      <c r="DS397" s="438">
        <f t="shared" si="815"/>
        <v>0</v>
      </c>
      <c r="DT397" s="438" t="e">
        <f t="shared" si="815"/>
        <v>#REF!</v>
      </c>
      <c r="DU397" s="438">
        <f t="shared" si="815"/>
        <v>1153090.28</v>
      </c>
      <c r="DV397" s="438">
        <f t="shared" si="815"/>
        <v>0</v>
      </c>
      <c r="DW397" s="438">
        <f t="shared" si="815"/>
        <v>1153090.28</v>
      </c>
      <c r="DX397" s="438" t="e">
        <f t="shared" si="815"/>
        <v>#REF!</v>
      </c>
      <c r="DY397" s="438">
        <f t="shared" si="815"/>
        <v>0</v>
      </c>
      <c r="DZ397" s="438" t="e">
        <f t="shared" si="815"/>
        <v>#REF!</v>
      </c>
      <c r="EA397" s="438">
        <f t="shared" si="815"/>
        <v>443142</v>
      </c>
      <c r="EB397" s="438">
        <f t="shared" si="815"/>
        <v>0</v>
      </c>
      <c r="EC397" s="438">
        <f t="shared" si="815"/>
        <v>443142</v>
      </c>
      <c r="ED397" s="438">
        <f t="shared" si="815"/>
        <v>-226486.06200000001</v>
      </c>
      <c r="EE397" s="438">
        <f t="shared" si="815"/>
        <v>0</v>
      </c>
      <c r="EF397" s="438">
        <f t="shared" si="815"/>
        <v>-226486.06200000001</v>
      </c>
      <c r="EG397" s="438">
        <f>EG359+EG364</f>
        <v>1182688.0908199998</v>
      </c>
      <c r="EH397" s="438">
        <f>EH359</f>
        <v>0</v>
      </c>
      <c r="EI397" s="438">
        <f>EI359</f>
        <v>0</v>
      </c>
      <c r="EJ397" s="438">
        <f>EJ359+EJ361</f>
        <v>1182688.0908199998</v>
      </c>
      <c r="EK397" s="438">
        <f t="shared" ref="EK397:ER397" si="816">EK359</f>
        <v>0</v>
      </c>
      <c r="EL397" s="438">
        <f t="shared" si="816"/>
        <v>0</v>
      </c>
      <c r="EM397" s="438">
        <f t="shared" si="816"/>
        <v>0</v>
      </c>
      <c r="EN397" s="438">
        <f t="shared" si="816"/>
        <v>0</v>
      </c>
      <c r="EO397" s="438" t="e">
        <f t="shared" si="816"/>
        <v>#REF!</v>
      </c>
      <c r="EP397" s="438">
        <f t="shared" si="816"/>
        <v>0</v>
      </c>
      <c r="EQ397" s="438">
        <f t="shared" si="816"/>
        <v>0</v>
      </c>
      <c r="ER397" s="438" t="e">
        <f t="shared" si="816"/>
        <v>#REF!</v>
      </c>
      <c r="ES397" s="438">
        <f>ES359+ES364</f>
        <v>-113739.90174999993</v>
      </c>
      <c r="ET397" s="438">
        <f>ET359</f>
        <v>0</v>
      </c>
      <c r="EU397" s="438">
        <f>EU359</f>
        <v>0</v>
      </c>
      <c r="EV397" s="438">
        <f>EV359+EV364</f>
        <v>-113739.90174999993</v>
      </c>
      <c r="EW397" s="438">
        <f t="shared" ref="EW397:FB397" si="817">EW359</f>
        <v>827651.3</v>
      </c>
      <c r="EX397" s="438">
        <f t="shared" si="817"/>
        <v>0</v>
      </c>
      <c r="EY397" s="438">
        <f t="shared" si="817"/>
        <v>827651.3</v>
      </c>
      <c r="EZ397" s="438">
        <f t="shared" si="817"/>
        <v>0</v>
      </c>
      <c r="FA397" s="438">
        <f t="shared" si="817"/>
        <v>0</v>
      </c>
      <c r="FB397" s="438">
        <f t="shared" si="817"/>
        <v>0</v>
      </c>
      <c r="FC397" s="438">
        <f>FC359+FC364</f>
        <v>1528969.23245</v>
      </c>
      <c r="FD397" s="438">
        <f>FD359</f>
        <v>0</v>
      </c>
      <c r="FE397" s="438">
        <f>FE359</f>
        <v>0</v>
      </c>
      <c r="FF397" s="438">
        <f>FF359+FF364</f>
        <v>1528969.23245</v>
      </c>
      <c r="FG397" s="438">
        <f t="shared" ref="FG397:FN397" si="818">FG359</f>
        <v>53229.147620000025</v>
      </c>
      <c r="FH397" s="438">
        <f t="shared" si="818"/>
        <v>0</v>
      </c>
      <c r="FI397" s="438">
        <f t="shared" si="818"/>
        <v>0</v>
      </c>
      <c r="FJ397" s="438">
        <f t="shared" si="818"/>
        <v>53229.147620000025</v>
      </c>
      <c r="FK397" s="438">
        <f t="shared" si="818"/>
        <v>-40826.822620000006</v>
      </c>
      <c r="FL397" s="438">
        <f t="shared" si="818"/>
        <v>0</v>
      </c>
      <c r="FM397" s="438">
        <f t="shared" si="818"/>
        <v>0</v>
      </c>
      <c r="FN397" s="438">
        <f t="shared" si="818"/>
        <v>-40826.822620000006</v>
      </c>
      <c r="FO397" s="438">
        <f>FO359+FO364</f>
        <v>1460577.6504300002</v>
      </c>
      <c r="FP397" s="438">
        <f>FP359</f>
        <v>0</v>
      </c>
      <c r="FQ397" s="438">
        <f>FQ359</f>
        <v>0</v>
      </c>
      <c r="FR397" s="438">
        <f>FR359+FR364</f>
        <v>1460577.6504300002</v>
      </c>
      <c r="FS397" s="438"/>
      <c r="FT397" s="438"/>
      <c r="FU397" s="438"/>
      <c r="FV397" s="438"/>
      <c r="FW397" s="438"/>
      <c r="FX397" s="438"/>
      <c r="FY397" s="438"/>
      <c r="FZ397" s="438"/>
      <c r="GA397" s="438"/>
      <c r="GB397" s="438"/>
      <c r="GC397" s="438"/>
      <c r="GD397" s="438"/>
      <c r="GE397" s="438"/>
      <c r="GF397" s="438"/>
      <c r="GG397" s="438"/>
      <c r="GH397" s="438"/>
      <c r="GI397" s="438"/>
      <c r="GJ397" s="438"/>
      <c r="GK397" s="438"/>
      <c r="GL397" s="438"/>
      <c r="GM397" s="438"/>
      <c r="GN397" s="438"/>
      <c r="GO397" s="438"/>
      <c r="GP397" s="438"/>
      <c r="GQ397" s="438"/>
      <c r="GR397" s="438"/>
      <c r="GS397" s="438"/>
      <c r="GT397" s="438"/>
      <c r="GU397" s="438">
        <f>GU359+GU364</f>
        <v>1369169.9191800002</v>
      </c>
      <c r="GV397" s="438">
        <f>GV359</f>
        <v>0</v>
      </c>
      <c r="GW397" s="438">
        <f>GW359</f>
        <v>0</v>
      </c>
      <c r="GX397" s="438">
        <f>GX359+GX364</f>
        <v>1369169.9191800002</v>
      </c>
      <c r="GY397" s="438"/>
      <c r="GZ397" s="438"/>
      <c r="HA397" s="438"/>
      <c r="HB397" s="438"/>
      <c r="HC397" s="438"/>
      <c r="HD397" s="438"/>
      <c r="HE397" s="438"/>
      <c r="HF397" s="438"/>
      <c r="HG397" s="438">
        <f>HG359+HG364</f>
        <v>-4.2999998549930751E-4</v>
      </c>
      <c r="HH397" s="438">
        <f>HH359</f>
        <v>0</v>
      </c>
      <c r="HI397" s="438">
        <f>HI359</f>
        <v>0</v>
      </c>
      <c r="HJ397" s="438">
        <f>HJ359+HJ364</f>
        <v>-4.2999998549930751E-4</v>
      </c>
      <c r="HK397" s="438">
        <f>HK359+HK364</f>
        <v>0</v>
      </c>
      <c r="HL397" s="438">
        <f>HL359</f>
        <v>0</v>
      </c>
      <c r="HM397" s="438">
        <f>HM359</f>
        <v>0</v>
      </c>
      <c r="HN397" s="438">
        <f t="shared" ref="HN397:HS397" si="819">HN359+HN364</f>
        <v>0</v>
      </c>
      <c r="HO397" s="438">
        <f t="shared" si="819"/>
        <v>1369169.91875</v>
      </c>
      <c r="HP397" s="438">
        <f t="shared" si="819"/>
        <v>0</v>
      </c>
      <c r="HQ397" s="438">
        <f t="shared" si="819"/>
        <v>0</v>
      </c>
      <c r="HR397" s="438">
        <f t="shared" si="819"/>
        <v>1369169.91875</v>
      </c>
      <c r="HS397" s="438">
        <f t="shared" si="819"/>
        <v>878690.005</v>
      </c>
      <c r="HT397" s="438">
        <f>HT359</f>
        <v>0</v>
      </c>
      <c r="HU397" s="438">
        <f>HU359</f>
        <v>0</v>
      </c>
      <c r="HV397" s="438">
        <f>HV359+HV364</f>
        <v>878690.005</v>
      </c>
      <c r="HW397" s="438">
        <f>HW359+HW364</f>
        <v>0</v>
      </c>
      <c r="HX397" s="438">
        <f>HX359</f>
        <v>0</v>
      </c>
      <c r="HY397" s="438">
        <f>HY359</f>
        <v>0</v>
      </c>
      <c r="HZ397" s="438">
        <f>HZ359+HZ364</f>
        <v>0</v>
      </c>
      <c r="IA397" s="438">
        <f>IA359+IA364</f>
        <v>878690.005</v>
      </c>
      <c r="IB397" s="438">
        <f>IB359</f>
        <v>0</v>
      </c>
      <c r="IC397" s="438">
        <f>IC359</f>
        <v>0</v>
      </c>
      <c r="ID397" s="438">
        <f>ID359+ID364</f>
        <v>878690.005</v>
      </c>
      <c r="IE397" s="438"/>
      <c r="IF397" s="141"/>
      <c r="IG397" s="141"/>
      <c r="IH397" s="141"/>
    </row>
    <row r="398" spans="2:242" s="12" customFormat="1" ht="9.75" customHeight="1" x14ac:dyDescent="0.25">
      <c r="B398" s="442"/>
      <c r="C398" s="443"/>
      <c r="D398" s="444"/>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c r="CL398" s="11"/>
      <c r="CM398" s="11"/>
      <c r="CN398" s="11"/>
      <c r="CO398" s="11"/>
      <c r="CP398" s="11"/>
      <c r="CQ398" s="11"/>
      <c r="CR398" s="11"/>
      <c r="CS398" s="11"/>
      <c r="CT398" s="11"/>
      <c r="CU398" s="11"/>
      <c r="CV398" s="11"/>
      <c r="CW398" s="11"/>
      <c r="CX398" s="11"/>
      <c r="CY398" s="11"/>
      <c r="CZ398" s="11"/>
      <c r="DA398" s="11"/>
      <c r="DB398" s="11"/>
      <c r="DC398" s="11"/>
      <c r="DD398" s="11"/>
      <c r="DE398" s="11"/>
      <c r="DF398" s="11"/>
      <c r="DG398" s="11"/>
      <c r="DH398" s="11"/>
      <c r="DI398" s="11"/>
      <c r="DJ398" s="11"/>
      <c r="DK398" s="11"/>
      <c r="DL398" s="11"/>
      <c r="DM398" s="11"/>
      <c r="DN398" s="11"/>
      <c r="DO398" s="11"/>
      <c r="DP398" s="11"/>
      <c r="DQ398" s="11"/>
      <c r="DR398" s="11"/>
      <c r="DS398" s="11"/>
      <c r="DT398" s="11"/>
      <c r="DU398" s="11"/>
      <c r="DV398" s="11"/>
      <c r="DW398" s="11"/>
      <c r="DX398" s="11"/>
      <c r="DY398" s="11"/>
      <c r="DZ398" s="11"/>
      <c r="EA398" s="11"/>
      <c r="EB398" s="11"/>
      <c r="EC398" s="11"/>
      <c r="ED398" s="11"/>
      <c r="EE398" s="11"/>
      <c r="EF398" s="11"/>
      <c r="EG398" s="11"/>
      <c r="EH398" s="11"/>
      <c r="EI398" s="11"/>
      <c r="EJ398" s="11"/>
      <c r="EK398" s="11"/>
      <c r="EL398" s="11"/>
      <c r="EM398" s="11"/>
      <c r="EN398" s="11"/>
      <c r="EO398" s="11"/>
      <c r="EP398" s="11"/>
      <c r="EQ398" s="11"/>
      <c r="ER398" s="11"/>
      <c r="ES398" s="11"/>
      <c r="ET398" s="11"/>
      <c r="EU398" s="11"/>
      <c r="EV398" s="11"/>
      <c r="EW398" s="11"/>
      <c r="EX398" s="11"/>
      <c r="EY398" s="11"/>
      <c r="EZ398" s="11"/>
      <c r="FA398" s="11"/>
      <c r="FB398" s="11"/>
      <c r="FC398" s="11"/>
      <c r="FD398" s="11"/>
      <c r="FE398" s="11"/>
      <c r="FF398" s="11"/>
      <c r="FG398" s="11"/>
      <c r="FH398" s="11"/>
      <c r="FI398" s="11"/>
      <c r="FJ398" s="11"/>
      <c r="FK398" s="11"/>
      <c r="FL398" s="11"/>
      <c r="FM398" s="11"/>
      <c r="FN398" s="11"/>
      <c r="FO398" s="11"/>
      <c r="FP398" s="11"/>
      <c r="FQ398" s="11"/>
      <c r="FR398" s="11"/>
      <c r="FS398" s="11"/>
      <c r="FT398" s="11"/>
      <c r="FU398" s="11"/>
      <c r="FV398" s="11"/>
      <c r="FW398" s="11"/>
      <c r="FX398" s="11"/>
      <c r="FY398" s="11"/>
      <c r="FZ398" s="11"/>
      <c r="GA398" s="11"/>
      <c r="GB398" s="11"/>
      <c r="GC398" s="11"/>
      <c r="GD398" s="11"/>
      <c r="GE398" s="11"/>
      <c r="GF398" s="11"/>
      <c r="GG398" s="11"/>
      <c r="GH398" s="11"/>
      <c r="GI398" s="11"/>
      <c r="GJ398" s="11"/>
      <c r="GK398" s="11"/>
      <c r="GL398" s="11"/>
      <c r="GM398" s="11"/>
      <c r="GN398" s="11"/>
      <c r="GO398" s="11"/>
      <c r="GP398" s="11"/>
      <c r="GQ398" s="11"/>
      <c r="GR398" s="11"/>
      <c r="GS398" s="11"/>
      <c r="GT398" s="11"/>
      <c r="GU398" s="11"/>
      <c r="GV398" s="11"/>
      <c r="GW398" s="11"/>
      <c r="GX398" s="11"/>
      <c r="GY398" s="11"/>
      <c r="GZ398" s="11"/>
      <c r="HA398" s="11"/>
      <c r="HB398" s="11"/>
      <c r="HC398" s="11"/>
      <c r="HD398" s="11"/>
      <c r="HE398" s="11"/>
      <c r="HF398" s="11"/>
      <c r="HG398" s="11"/>
      <c r="HH398" s="11"/>
      <c r="HI398" s="11"/>
      <c r="HJ398" s="11"/>
      <c r="HK398" s="11"/>
      <c r="HL398" s="11"/>
      <c r="HM398" s="11"/>
      <c r="HN398" s="11"/>
      <c r="HO398" s="11"/>
      <c r="HP398" s="11"/>
      <c r="HQ398" s="11"/>
      <c r="HR398" s="11"/>
      <c r="HS398" s="11"/>
      <c r="HT398" s="11"/>
      <c r="HU398" s="11"/>
      <c r="HV398" s="11"/>
      <c r="HW398" s="11"/>
      <c r="HX398" s="11"/>
      <c r="HY398" s="11"/>
      <c r="HZ398" s="11"/>
      <c r="IA398" s="11"/>
      <c r="IB398" s="11"/>
      <c r="IC398" s="11"/>
      <c r="ID398" s="11"/>
      <c r="IE398" s="10"/>
      <c r="IF398" s="11"/>
      <c r="IG398" s="11"/>
      <c r="IH398" s="11"/>
    </row>
    <row r="399" spans="2:242" s="129" customFormat="1" ht="30" customHeight="1" x14ac:dyDescent="0.25">
      <c r="B399" s="445"/>
      <c r="C399" s="171"/>
      <c r="D399" s="446"/>
      <c r="E399" s="447"/>
      <c r="F399" s="447"/>
      <c r="G399" s="447"/>
      <c r="H399" s="447"/>
      <c r="I399" s="447"/>
      <c r="J399" s="447"/>
      <c r="K399" s="447"/>
      <c r="L399" s="447"/>
      <c r="M399" s="447"/>
      <c r="N399" s="448"/>
      <c r="O399" s="448"/>
      <c r="P399" s="448"/>
      <c r="Q399" s="448"/>
      <c r="R399" s="448"/>
      <c r="S399" s="448"/>
      <c r="T399" s="447"/>
      <c r="U399" s="447"/>
      <c r="V399" s="447"/>
      <c r="W399" s="447"/>
      <c r="X399" s="447"/>
      <c r="Y399" s="447"/>
      <c r="Z399" s="447"/>
      <c r="AA399" s="447"/>
      <c r="AB399" s="447"/>
      <c r="AC399" s="448"/>
      <c r="AD399" s="447"/>
      <c r="AE399" s="447"/>
      <c r="AF399" s="448"/>
      <c r="AG399" s="447"/>
      <c r="AH399" s="447"/>
      <c r="AI399" s="448"/>
      <c r="AJ399" s="448"/>
      <c r="AK399" s="448"/>
      <c r="AL399" s="448"/>
      <c r="AM399" s="448"/>
      <c r="AN399" s="448"/>
      <c r="AO399" s="448"/>
      <c r="AP399" s="448"/>
      <c r="AQ399" s="448"/>
      <c r="AR399" s="448"/>
      <c r="AS399" s="447"/>
      <c r="AT399" s="448"/>
      <c r="AU399" s="448"/>
      <c r="AV399" s="447"/>
      <c r="AW399" s="447"/>
      <c r="AX399" s="447"/>
      <c r="AY399" s="447"/>
      <c r="AZ399" s="448"/>
      <c r="BA399" s="448"/>
      <c r="BB399" s="447"/>
      <c r="BC399" s="447"/>
      <c r="BD399" s="447"/>
      <c r="BE399" s="447"/>
      <c r="BF399" s="447"/>
      <c r="BG399" s="447"/>
      <c r="BH399" s="447"/>
      <c r="BI399" s="448"/>
      <c r="BJ399" s="448"/>
      <c r="BK399" s="448"/>
      <c r="BL399" s="448"/>
      <c r="BM399" s="448"/>
      <c r="BN399" s="448"/>
      <c r="BO399" s="448"/>
      <c r="BP399" s="448"/>
      <c r="BQ399" s="448"/>
      <c r="BR399" s="448"/>
      <c r="BS399" s="448"/>
      <c r="BT399" s="448"/>
      <c r="BU399" s="448"/>
      <c r="BV399" s="447"/>
      <c r="BW399" s="447"/>
      <c r="BX399" s="447"/>
      <c r="BY399" s="447"/>
      <c r="BZ399" s="447"/>
      <c r="CA399" s="447"/>
      <c r="CB399" s="447"/>
      <c r="CC399" s="447"/>
      <c r="CD399" s="447"/>
      <c r="CE399" s="448"/>
      <c r="CF399" s="448"/>
      <c r="CG399" s="449"/>
      <c r="CH399" s="447"/>
      <c r="CI399" s="448"/>
      <c r="CJ399" s="448"/>
      <c r="CK399" s="447"/>
      <c r="CL399" s="447"/>
      <c r="CM399" s="447"/>
      <c r="CN399" s="447"/>
      <c r="CO399" s="447"/>
      <c r="CP399" s="447"/>
      <c r="CQ399" s="447"/>
      <c r="CR399" s="448"/>
      <c r="CS399" s="448"/>
      <c r="CT399" s="447"/>
      <c r="CU399" s="447"/>
      <c r="CV399" s="447"/>
      <c r="CW399" s="447"/>
      <c r="CX399" s="447"/>
      <c r="CY399" s="447"/>
      <c r="CZ399" s="447"/>
      <c r="DA399" s="448"/>
      <c r="DB399" s="448"/>
      <c r="DC399" s="448"/>
      <c r="DD399" s="448"/>
      <c r="DE399" s="448"/>
      <c r="DF399" s="448"/>
      <c r="DG399" s="448"/>
      <c r="DH399" s="448"/>
      <c r="DI399" s="448"/>
      <c r="DJ399" s="448"/>
      <c r="DK399" s="448"/>
      <c r="DL399" s="448"/>
      <c r="DM399" s="448"/>
      <c r="DN399" s="448"/>
      <c r="DO399" s="448"/>
      <c r="DP399" s="448"/>
      <c r="DQ399" s="448"/>
      <c r="DR399" s="448"/>
      <c r="DS399" s="448"/>
      <c r="DT399" s="448"/>
      <c r="DU399" s="448"/>
      <c r="DV399" s="448"/>
      <c r="DW399" s="448"/>
      <c r="DX399" s="447"/>
      <c r="DY399" s="448"/>
      <c r="DZ399" s="448"/>
      <c r="EA399" s="448"/>
      <c r="EB399" s="448"/>
      <c r="EC399" s="448"/>
      <c r="ED399" s="448"/>
      <c r="EE399" s="448"/>
      <c r="EF399" s="448"/>
      <c r="EG399" s="448"/>
      <c r="EH399" s="448"/>
      <c r="EI399" s="448"/>
      <c r="EJ399" s="448"/>
      <c r="EK399" s="448"/>
      <c r="EL399" s="448"/>
      <c r="EM399" s="448"/>
      <c r="EN399" s="448"/>
      <c r="EO399" s="448"/>
      <c r="EP399" s="448"/>
      <c r="EQ399" s="448"/>
      <c r="ER399" s="448"/>
      <c r="ES399" s="448"/>
      <c r="ET399" s="448"/>
      <c r="EU399" s="448"/>
      <c r="EV399" s="448"/>
      <c r="EW399" s="448"/>
      <c r="EX399" s="448"/>
      <c r="EY399" s="448"/>
      <c r="EZ399" s="448"/>
      <c r="FA399" s="448"/>
      <c r="FB399" s="448"/>
      <c r="FC399" s="448"/>
      <c r="FD399" s="448"/>
      <c r="FE399" s="448"/>
      <c r="FF399" s="448"/>
      <c r="FG399" s="448"/>
      <c r="FH399" s="448"/>
      <c r="FI399" s="448"/>
      <c r="FJ399" s="448"/>
      <c r="FK399" s="448"/>
      <c r="FL399" s="448"/>
      <c r="FM399" s="448"/>
      <c r="FN399" s="448"/>
      <c r="FO399" s="448"/>
      <c r="FP399" s="448"/>
      <c r="FQ399" s="448"/>
      <c r="FR399" s="448"/>
      <c r="FS399" s="448"/>
      <c r="FT399" s="448"/>
      <c r="FU399" s="448"/>
      <c r="FV399" s="448"/>
      <c r="FW399" s="448"/>
      <c r="FX399" s="448"/>
      <c r="FY399" s="448"/>
      <c r="FZ399" s="448"/>
      <c r="GA399" s="448"/>
      <c r="GB399" s="448"/>
      <c r="GC399" s="448"/>
      <c r="GD399" s="448"/>
      <c r="GE399" s="448"/>
      <c r="GF399" s="448"/>
      <c r="GG399" s="448"/>
      <c r="GH399" s="448"/>
      <c r="GI399" s="448"/>
      <c r="GJ399" s="448"/>
      <c r="GK399" s="448"/>
      <c r="GL399" s="448"/>
      <c r="GM399" s="448"/>
      <c r="GN399" s="448"/>
      <c r="GO399" s="448"/>
      <c r="GP399" s="448"/>
      <c r="GQ399" s="448"/>
      <c r="GR399" s="448"/>
      <c r="GS399" s="448"/>
      <c r="GT399" s="448"/>
      <c r="GU399" s="448"/>
      <c r="GV399" s="448"/>
      <c r="GW399" s="448"/>
      <c r="GX399" s="448"/>
      <c r="GY399" s="448"/>
      <c r="GZ399" s="448"/>
      <c r="HA399" s="448"/>
      <c r="HB399" s="448"/>
      <c r="HC399" s="448"/>
      <c r="HD399" s="448"/>
      <c r="HE399" s="448"/>
      <c r="HF399" s="448"/>
      <c r="HG399" s="448"/>
      <c r="HH399" s="448"/>
      <c r="HI399" s="448"/>
      <c r="HJ399" s="448"/>
      <c r="HK399" s="448"/>
      <c r="HL399" s="448"/>
      <c r="HM399" s="448"/>
      <c r="HN399" s="448"/>
      <c r="HO399" s="448"/>
      <c r="HP399" s="448"/>
      <c r="HQ399" s="448"/>
      <c r="HR399" s="448"/>
      <c r="HS399" s="448"/>
      <c r="HT399" s="448"/>
      <c r="HU399" s="448"/>
      <c r="HV399" s="448"/>
      <c r="HW399" s="448"/>
      <c r="HX399" s="448"/>
      <c r="HY399" s="448"/>
      <c r="HZ399" s="448"/>
      <c r="IA399" s="448"/>
      <c r="IB399" s="448"/>
      <c r="IC399" s="448"/>
      <c r="ID399" s="448"/>
      <c r="IE399" s="450"/>
      <c r="IF399" s="449"/>
      <c r="IG399" s="449"/>
      <c r="IH399" s="449"/>
    </row>
    <row r="400" spans="2:242" s="307" customFormat="1" ht="59.25" customHeight="1" x14ac:dyDescent="0.35">
      <c r="B400" s="451"/>
      <c r="C400" s="763" t="s">
        <v>462</v>
      </c>
      <c r="D400" s="763"/>
      <c r="E400" s="763"/>
      <c r="F400" s="763"/>
      <c r="G400" s="763"/>
      <c r="H400" s="763"/>
      <c r="I400" s="763"/>
      <c r="J400" s="763"/>
      <c r="K400" s="763"/>
      <c r="L400" s="763"/>
      <c r="M400" s="763"/>
      <c r="N400" s="763"/>
      <c r="O400" s="763"/>
      <c r="P400" s="763"/>
      <c r="Q400" s="763"/>
      <c r="R400" s="763"/>
      <c r="S400" s="763"/>
      <c r="T400" s="763"/>
      <c r="U400" s="763"/>
      <c r="V400" s="763"/>
      <c r="W400" s="763"/>
      <c r="X400" s="763"/>
      <c r="Y400" s="763"/>
      <c r="Z400" s="763"/>
      <c r="AA400" s="763"/>
      <c r="AB400" s="763"/>
      <c r="AC400" s="763"/>
      <c r="AD400" s="763"/>
      <c r="AE400" s="763"/>
      <c r="AF400" s="763"/>
      <c r="AG400" s="763"/>
      <c r="AH400" s="763"/>
      <c r="AI400" s="763"/>
      <c r="AJ400" s="763"/>
      <c r="AK400" s="763"/>
      <c r="AL400" s="763"/>
      <c r="AM400" s="763"/>
      <c r="AN400" s="763"/>
      <c r="AO400" s="763"/>
      <c r="AP400" s="763"/>
      <c r="AQ400" s="763"/>
      <c r="AR400" s="763"/>
      <c r="AS400" s="763"/>
      <c r="AT400" s="763"/>
      <c r="AU400" s="763"/>
      <c r="AV400" s="763"/>
      <c r="AW400" s="763"/>
      <c r="AX400" s="763"/>
      <c r="AY400" s="763"/>
      <c r="AZ400" s="763"/>
      <c r="BA400" s="763"/>
      <c r="BB400" s="763"/>
      <c r="BC400" s="763"/>
      <c r="BD400" s="763"/>
      <c r="BE400" s="763"/>
      <c r="BF400" s="763"/>
      <c r="BG400" s="763"/>
      <c r="BH400" s="763"/>
      <c r="BI400" s="763"/>
      <c r="BJ400" s="763"/>
      <c r="BK400" s="763"/>
      <c r="BL400" s="763"/>
      <c r="BM400" s="763"/>
      <c r="BN400" s="763"/>
      <c r="BO400" s="763"/>
      <c r="BP400" s="763"/>
      <c r="BQ400" s="763"/>
      <c r="BR400" s="763"/>
      <c r="BS400" s="763"/>
      <c r="BT400" s="763"/>
      <c r="BU400" s="763"/>
      <c r="BV400" s="763"/>
      <c r="BW400" s="763"/>
      <c r="BX400" s="763"/>
      <c r="BY400" s="763"/>
      <c r="BZ400" s="763"/>
      <c r="CA400" s="763"/>
      <c r="CB400" s="763"/>
      <c r="CC400" s="763"/>
      <c r="CD400" s="763"/>
      <c r="CE400" s="763"/>
      <c r="CF400" s="763"/>
      <c r="CG400" s="763"/>
      <c r="CH400" s="763"/>
      <c r="CI400" s="763"/>
      <c r="CJ400" s="763"/>
      <c r="CK400" s="763"/>
      <c r="CL400" s="763"/>
      <c r="CM400" s="763"/>
      <c r="CN400" s="763"/>
      <c r="CO400" s="763"/>
      <c r="CP400" s="763"/>
      <c r="CQ400" s="763"/>
      <c r="CR400" s="763"/>
      <c r="CS400" s="763"/>
      <c r="CT400" s="763"/>
      <c r="CU400" s="763"/>
      <c r="CV400" s="763"/>
      <c r="CW400" s="763"/>
      <c r="CX400" s="763"/>
      <c r="CY400" s="763"/>
      <c r="CZ400" s="763"/>
      <c r="DA400" s="763"/>
      <c r="DB400" s="763"/>
      <c r="DC400" s="763"/>
      <c r="DD400" s="763"/>
      <c r="DE400" s="763"/>
      <c r="DF400" s="763"/>
      <c r="DG400" s="763"/>
      <c r="DH400" s="763"/>
      <c r="DI400" s="763"/>
      <c r="DJ400" s="763"/>
      <c r="DK400" s="763"/>
      <c r="DL400" s="763"/>
      <c r="DM400" s="763"/>
      <c r="DN400" s="763"/>
      <c r="DO400" s="763"/>
      <c r="DP400" s="763"/>
      <c r="DQ400" s="763"/>
      <c r="DR400" s="763"/>
      <c r="DS400" s="763"/>
      <c r="DT400" s="763"/>
      <c r="DU400" s="763"/>
      <c r="DV400" s="763"/>
      <c r="DW400" s="763"/>
      <c r="DX400" s="763"/>
      <c r="DY400" s="763"/>
      <c r="DZ400" s="763"/>
      <c r="EA400" s="763"/>
      <c r="EB400" s="763"/>
      <c r="EC400" s="763"/>
      <c r="ED400" s="763"/>
      <c r="EE400" s="763"/>
      <c r="EF400" s="763"/>
      <c r="EG400" s="763"/>
      <c r="EH400" s="763"/>
      <c r="EI400" s="763"/>
      <c r="EJ400" s="452"/>
      <c r="EK400" s="452"/>
      <c r="EL400" s="452"/>
      <c r="EM400" s="452"/>
      <c r="EN400" s="452"/>
      <c r="EO400" s="452"/>
      <c r="EP400" s="452"/>
      <c r="EQ400" s="452"/>
      <c r="ER400" s="452"/>
      <c r="ES400" s="763" t="s">
        <v>463</v>
      </c>
      <c r="ET400" s="763"/>
      <c r="EU400" s="763"/>
      <c r="EV400" s="763"/>
      <c r="EW400" s="763"/>
      <c r="EX400" s="763"/>
      <c r="EY400" s="763"/>
      <c r="EZ400" s="763"/>
      <c r="FA400" s="763"/>
      <c r="FB400" s="763"/>
      <c r="FC400" s="763"/>
      <c r="FD400" s="763"/>
      <c r="FE400" s="763"/>
      <c r="FF400" s="763"/>
      <c r="FG400" s="763"/>
      <c r="FH400" s="763"/>
      <c r="FI400" s="763"/>
      <c r="FJ400" s="763"/>
      <c r="FK400" s="763"/>
      <c r="FL400" s="763"/>
      <c r="FM400" s="763"/>
      <c r="FN400" s="763"/>
      <c r="FO400" s="763"/>
      <c r="FP400" s="763"/>
      <c r="FQ400" s="763"/>
      <c r="FR400" s="453"/>
      <c r="FS400" s="453"/>
      <c r="FT400" s="453"/>
      <c r="FU400" s="453"/>
      <c r="FV400" s="453"/>
      <c r="FW400" s="453"/>
      <c r="FX400" s="453"/>
      <c r="FY400" s="453"/>
      <c r="FZ400" s="453"/>
      <c r="GA400" s="453"/>
      <c r="GB400" s="453"/>
      <c r="GC400" s="453"/>
      <c r="GD400" s="453"/>
      <c r="GE400" s="453"/>
      <c r="GF400" s="453"/>
      <c r="GG400" s="453"/>
      <c r="GH400" s="453"/>
      <c r="GI400" s="453"/>
      <c r="GJ400" s="453"/>
      <c r="GK400" s="453"/>
      <c r="GL400" s="453"/>
      <c r="GM400" s="453"/>
      <c r="GN400" s="453"/>
      <c r="GO400" s="453"/>
      <c r="GP400" s="453"/>
      <c r="GQ400" s="453"/>
      <c r="GR400" s="453"/>
      <c r="GS400" s="453"/>
      <c r="GT400" s="453"/>
      <c r="GU400" s="453"/>
      <c r="GV400" s="453"/>
      <c r="GW400" s="453"/>
      <c r="GX400" s="453"/>
      <c r="GY400" s="453"/>
      <c r="GZ400" s="453"/>
      <c r="HA400" s="453"/>
      <c r="HB400" s="453"/>
      <c r="HC400" s="453"/>
      <c r="HD400" s="453"/>
      <c r="HE400" s="453"/>
      <c r="HF400" s="453"/>
      <c r="HG400" s="453"/>
      <c r="HH400" s="453"/>
      <c r="HI400" s="453"/>
      <c r="HJ400" s="453"/>
      <c r="HK400" s="453"/>
      <c r="HL400" s="453"/>
      <c r="HM400" s="453"/>
      <c r="HN400" s="453"/>
      <c r="HO400" s="453"/>
      <c r="HP400" s="453"/>
      <c r="HQ400" s="453"/>
      <c r="HR400" s="453"/>
      <c r="HS400" s="453"/>
      <c r="HT400" s="453"/>
      <c r="HU400" s="453"/>
      <c r="HV400" s="453"/>
      <c r="HW400" s="453"/>
      <c r="HX400" s="453"/>
      <c r="HY400" s="453"/>
      <c r="HZ400" s="453"/>
      <c r="IA400" s="453"/>
      <c r="IB400" s="453"/>
      <c r="IC400" s="453"/>
      <c r="ID400" s="453"/>
      <c r="IE400" s="10"/>
      <c r="IF400" s="11"/>
      <c r="IG400" s="11"/>
      <c r="IH400" s="11"/>
    </row>
    <row r="401" spans="2:242" s="460" customFormat="1" ht="18.75" customHeight="1" x14ac:dyDescent="0.3">
      <c r="B401" s="454"/>
      <c r="C401" s="455"/>
      <c r="D401" s="455"/>
      <c r="E401" s="455"/>
      <c r="F401" s="455"/>
      <c r="G401" s="455"/>
      <c r="H401" s="455"/>
      <c r="I401" s="455"/>
      <c r="J401" s="455"/>
      <c r="K401" s="455"/>
      <c r="L401" s="455"/>
      <c r="M401" s="455"/>
      <c r="N401" s="455"/>
      <c r="O401" s="455"/>
      <c r="P401" s="455"/>
      <c r="Q401" s="455"/>
      <c r="R401" s="455"/>
      <c r="S401" s="455"/>
      <c r="T401" s="456"/>
      <c r="U401" s="456"/>
      <c r="V401" s="456"/>
      <c r="W401" s="456"/>
      <c r="X401" s="456"/>
      <c r="Y401" s="456"/>
      <c r="Z401" s="456"/>
      <c r="AA401" s="456"/>
      <c r="AB401" s="456"/>
      <c r="AC401" s="456"/>
      <c r="AD401" s="456"/>
      <c r="AE401" s="456"/>
      <c r="AF401" s="456"/>
      <c r="AG401" s="456"/>
      <c r="AH401" s="456"/>
      <c r="AI401" s="456"/>
      <c r="AJ401" s="456"/>
      <c r="AK401" s="456"/>
      <c r="AL401" s="456"/>
      <c r="AM401" s="456"/>
      <c r="AN401" s="456"/>
      <c r="AO401" s="456"/>
      <c r="AP401" s="456"/>
      <c r="AQ401" s="456"/>
      <c r="AR401" s="456"/>
      <c r="AS401" s="456"/>
      <c r="AT401" s="456"/>
      <c r="AU401" s="456"/>
      <c r="AV401" s="456"/>
      <c r="AW401" s="456"/>
      <c r="AX401" s="456"/>
      <c r="AY401" s="456"/>
      <c r="AZ401" s="456"/>
      <c r="BA401" s="456"/>
      <c r="BB401" s="456"/>
      <c r="BC401" s="456"/>
      <c r="BD401" s="456"/>
      <c r="BE401" s="456"/>
      <c r="BF401" s="456"/>
      <c r="BG401" s="456"/>
      <c r="BH401" s="456"/>
      <c r="BI401" s="456"/>
      <c r="BJ401" s="456"/>
      <c r="BK401" s="456"/>
      <c r="BL401" s="456"/>
      <c r="BM401" s="456"/>
      <c r="BN401" s="456"/>
      <c r="BO401" s="456"/>
      <c r="BP401" s="456"/>
      <c r="BQ401" s="456"/>
      <c r="BR401" s="456"/>
      <c r="BS401" s="456"/>
      <c r="BT401" s="456"/>
      <c r="BU401" s="456"/>
      <c r="BV401" s="456"/>
      <c r="BW401" s="456"/>
      <c r="BX401" s="456"/>
      <c r="BY401" s="456"/>
      <c r="BZ401" s="456"/>
      <c r="CA401" s="456"/>
      <c r="CB401" s="456"/>
      <c r="CC401" s="456"/>
      <c r="CD401" s="456"/>
      <c r="CE401" s="456"/>
      <c r="CF401" s="456"/>
      <c r="CG401" s="457"/>
      <c r="CH401" s="456"/>
      <c r="CI401" s="456"/>
      <c r="CJ401" s="456"/>
      <c r="CK401" s="456"/>
      <c r="CL401" s="456"/>
      <c r="CM401" s="456"/>
      <c r="CN401" s="456"/>
      <c r="CO401" s="456"/>
      <c r="CP401" s="456"/>
      <c r="CQ401" s="456"/>
      <c r="CR401" s="456"/>
      <c r="CS401" s="456"/>
      <c r="CT401" s="456"/>
      <c r="CU401" s="456"/>
      <c r="CV401" s="456"/>
      <c r="CW401" s="456"/>
      <c r="CX401" s="456"/>
      <c r="CY401" s="456"/>
      <c r="CZ401" s="456"/>
      <c r="DA401" s="456"/>
      <c r="DB401" s="456"/>
      <c r="DC401" s="456"/>
      <c r="DD401" s="456"/>
      <c r="DE401" s="456"/>
      <c r="DF401" s="456"/>
      <c r="DG401" s="456"/>
      <c r="DH401" s="456"/>
      <c r="DI401" s="456"/>
      <c r="DJ401" s="456"/>
      <c r="DK401" s="456"/>
      <c r="DL401" s="456"/>
      <c r="DM401" s="456"/>
      <c r="DN401" s="456"/>
      <c r="DO401" s="456"/>
      <c r="DP401" s="456"/>
      <c r="DQ401" s="456"/>
      <c r="DR401" s="456"/>
      <c r="DS401" s="456"/>
      <c r="DT401" s="456"/>
      <c r="DU401" s="456"/>
      <c r="DV401" s="456"/>
      <c r="DW401" s="456"/>
      <c r="DX401" s="456"/>
      <c r="DY401" s="456"/>
      <c r="DZ401" s="456"/>
      <c r="EA401" s="456"/>
      <c r="EB401" s="456"/>
      <c r="EC401" s="456"/>
      <c r="ED401" s="456"/>
      <c r="EE401" s="456"/>
      <c r="EF401" s="456"/>
      <c r="EG401" s="456"/>
      <c r="EH401" s="456"/>
      <c r="EI401" s="456"/>
      <c r="EJ401" s="456"/>
      <c r="EK401" s="456"/>
      <c r="EL401" s="456"/>
      <c r="EM401" s="456"/>
      <c r="EN401" s="456"/>
      <c r="EO401" s="456"/>
      <c r="EP401" s="456"/>
      <c r="EQ401" s="456"/>
      <c r="ER401" s="456"/>
      <c r="ES401" s="456"/>
      <c r="ET401" s="456"/>
      <c r="EU401" s="456"/>
      <c r="EV401" s="456"/>
      <c r="EW401" s="456"/>
      <c r="EX401" s="456"/>
      <c r="EY401" s="458"/>
      <c r="EZ401" s="458"/>
      <c r="FA401" s="458"/>
      <c r="FB401" s="458"/>
      <c r="FC401" s="458"/>
      <c r="FD401" s="458"/>
      <c r="FE401" s="458"/>
      <c r="FF401" s="458"/>
      <c r="FG401" s="456"/>
      <c r="FH401" s="456"/>
      <c r="FI401" s="456"/>
      <c r="FJ401" s="456"/>
      <c r="FK401" s="456"/>
      <c r="FL401" s="456"/>
      <c r="FM401" s="456"/>
      <c r="FN401" s="456"/>
      <c r="FO401" s="458"/>
      <c r="FP401" s="458"/>
      <c r="FQ401" s="458"/>
      <c r="FR401" s="458"/>
      <c r="FS401" s="458"/>
      <c r="FT401" s="458"/>
      <c r="FU401" s="458"/>
      <c r="FV401" s="458"/>
      <c r="FW401" s="458"/>
      <c r="FX401" s="458"/>
      <c r="FY401" s="458"/>
      <c r="FZ401" s="458"/>
      <c r="GA401" s="458"/>
      <c r="GB401" s="458"/>
      <c r="GC401" s="458"/>
      <c r="GD401" s="458"/>
      <c r="GE401" s="458"/>
      <c r="GF401" s="458"/>
      <c r="GG401" s="458"/>
      <c r="GH401" s="458"/>
      <c r="GI401" s="458"/>
      <c r="GJ401" s="458"/>
      <c r="GK401" s="458"/>
      <c r="GL401" s="458"/>
      <c r="GM401" s="458"/>
      <c r="GN401" s="458"/>
      <c r="GO401" s="458"/>
      <c r="GP401" s="458"/>
      <c r="GQ401" s="458"/>
      <c r="GR401" s="458"/>
      <c r="GS401" s="458"/>
      <c r="GT401" s="458"/>
      <c r="GU401" s="458"/>
      <c r="GV401" s="458"/>
      <c r="GW401" s="458"/>
      <c r="GX401" s="458"/>
      <c r="GY401" s="458"/>
      <c r="GZ401" s="458"/>
      <c r="HA401" s="458"/>
      <c r="HB401" s="458"/>
      <c r="HC401" s="458"/>
      <c r="HD401" s="458"/>
      <c r="HE401" s="458"/>
      <c r="HF401" s="458"/>
      <c r="HG401" s="458"/>
      <c r="HH401" s="458"/>
      <c r="HI401" s="458"/>
      <c r="HJ401" s="458"/>
      <c r="HK401" s="458"/>
      <c r="HL401" s="458"/>
      <c r="HM401" s="458"/>
      <c r="HN401" s="458"/>
      <c r="HO401" s="458"/>
      <c r="HP401" s="458"/>
      <c r="HQ401" s="458"/>
      <c r="HR401" s="458"/>
      <c r="HS401" s="458"/>
      <c r="HT401" s="458"/>
      <c r="HU401" s="458"/>
      <c r="HV401" s="458"/>
      <c r="HW401" s="458"/>
      <c r="HX401" s="458"/>
      <c r="HY401" s="458"/>
      <c r="HZ401" s="458"/>
      <c r="IA401" s="458"/>
      <c r="IB401" s="458"/>
      <c r="IC401" s="458"/>
      <c r="ID401" s="458"/>
      <c r="IE401" s="10"/>
      <c r="IF401" s="459"/>
      <c r="IG401" s="459"/>
      <c r="IH401" s="459"/>
    </row>
    <row r="402" spans="2:242" s="460" customFormat="1" ht="18.75" customHeight="1" x14ac:dyDescent="0.3">
      <c r="B402" s="278"/>
      <c r="C402" s="461"/>
      <c r="T402" s="458"/>
      <c r="U402" s="458"/>
      <c r="V402" s="458"/>
      <c r="W402" s="458"/>
      <c r="X402" s="458"/>
      <c r="Y402" s="458"/>
      <c r="Z402" s="458"/>
      <c r="AA402" s="458"/>
      <c r="AB402" s="458"/>
      <c r="AC402" s="458"/>
      <c r="AD402" s="458"/>
      <c r="AE402" s="458"/>
      <c r="AF402" s="458"/>
      <c r="AG402" s="458"/>
      <c r="AH402" s="458"/>
      <c r="AI402" s="458"/>
      <c r="AJ402" s="458"/>
      <c r="AK402" s="458"/>
      <c r="AL402" s="458"/>
      <c r="AM402" s="458"/>
      <c r="AN402" s="458"/>
      <c r="AO402" s="458"/>
      <c r="AP402" s="458"/>
      <c r="AQ402" s="458"/>
      <c r="AR402" s="458"/>
      <c r="AS402" s="458"/>
      <c r="AT402" s="458"/>
      <c r="AU402" s="458"/>
      <c r="AV402" s="458"/>
      <c r="AW402" s="458"/>
      <c r="AX402" s="458"/>
      <c r="AY402" s="458"/>
      <c r="AZ402" s="458"/>
      <c r="BA402" s="458"/>
      <c r="BB402" s="458"/>
      <c r="BC402" s="458"/>
      <c r="BD402" s="458"/>
      <c r="BE402" s="458"/>
      <c r="BF402" s="458"/>
      <c r="BG402" s="458"/>
      <c r="BH402" s="458"/>
      <c r="BI402" s="458"/>
      <c r="BJ402" s="458"/>
      <c r="BK402" s="458"/>
      <c r="BL402" s="458"/>
      <c r="BM402" s="458"/>
      <c r="BN402" s="458"/>
      <c r="BO402" s="458"/>
      <c r="BP402" s="458"/>
      <c r="BQ402" s="458"/>
      <c r="BR402" s="458"/>
      <c r="BS402" s="458"/>
      <c r="BT402" s="458"/>
      <c r="BU402" s="458"/>
      <c r="BV402" s="458"/>
      <c r="BW402" s="458"/>
      <c r="BX402" s="458"/>
      <c r="BY402" s="458"/>
      <c r="BZ402" s="458"/>
      <c r="CA402" s="458"/>
      <c r="CB402" s="458"/>
      <c r="CC402" s="458"/>
      <c r="CD402" s="458"/>
      <c r="CE402" s="458"/>
      <c r="CF402" s="458"/>
      <c r="CG402" s="459"/>
      <c r="CH402" s="458"/>
      <c r="CI402" s="458"/>
      <c r="CJ402" s="458"/>
      <c r="CK402" s="458"/>
      <c r="CL402" s="458"/>
      <c r="CM402" s="458"/>
      <c r="CN402" s="458"/>
      <c r="CO402" s="458"/>
      <c r="CP402" s="458"/>
      <c r="CQ402" s="458"/>
      <c r="CR402" s="458"/>
      <c r="CS402" s="458"/>
      <c r="CT402" s="458"/>
      <c r="CU402" s="458"/>
      <c r="CV402" s="458"/>
      <c r="CW402" s="458"/>
      <c r="CX402" s="458"/>
      <c r="CY402" s="458"/>
      <c r="CZ402" s="458"/>
      <c r="DA402" s="458"/>
      <c r="DB402" s="458"/>
      <c r="DC402" s="458"/>
      <c r="DD402" s="458"/>
      <c r="DE402" s="458"/>
      <c r="DF402" s="458"/>
      <c r="DG402" s="458"/>
      <c r="DH402" s="458"/>
      <c r="DI402" s="458"/>
      <c r="DJ402" s="458"/>
      <c r="DK402" s="458"/>
      <c r="DL402" s="458"/>
      <c r="DM402" s="458"/>
      <c r="DN402" s="458"/>
      <c r="DO402" s="458"/>
      <c r="DP402" s="458"/>
      <c r="DQ402" s="458"/>
      <c r="DR402" s="458"/>
      <c r="DS402" s="458"/>
      <c r="DT402" s="458"/>
      <c r="DU402" s="458"/>
      <c r="DV402" s="458"/>
      <c r="DW402" s="458"/>
      <c r="DX402" s="458"/>
      <c r="DY402" s="458"/>
      <c r="DZ402" s="458"/>
      <c r="EA402" s="458"/>
      <c r="EB402" s="458"/>
      <c r="EC402" s="458"/>
      <c r="ED402" s="458"/>
      <c r="EE402" s="458"/>
      <c r="EF402" s="458"/>
      <c r="EG402" s="458"/>
      <c r="EH402" s="458"/>
      <c r="EI402" s="458"/>
      <c r="EJ402" s="458"/>
      <c r="EK402" s="458"/>
      <c r="EL402" s="458"/>
      <c r="EM402" s="458"/>
      <c r="EN402" s="458"/>
      <c r="EO402" s="458"/>
      <c r="EP402" s="458"/>
      <c r="EQ402" s="458"/>
      <c r="ER402" s="458"/>
      <c r="ES402" s="458"/>
      <c r="ET402" s="458"/>
      <c r="EU402" s="458"/>
      <c r="EV402" s="458"/>
      <c r="EW402" s="458"/>
      <c r="EX402" s="458"/>
      <c r="EY402" s="458"/>
      <c r="EZ402" s="458"/>
      <c r="FA402" s="458"/>
      <c r="FB402" s="458"/>
      <c r="FC402" s="458"/>
      <c r="FD402" s="458"/>
      <c r="FE402" s="458"/>
      <c r="FF402" s="458"/>
      <c r="FG402" s="458"/>
      <c r="FH402" s="458"/>
      <c r="FI402" s="458"/>
      <c r="FJ402" s="458"/>
      <c r="FK402" s="458"/>
      <c r="FL402" s="458"/>
      <c r="FM402" s="458"/>
      <c r="FN402" s="458"/>
      <c r="FO402" s="458"/>
      <c r="FP402" s="458"/>
      <c r="FQ402" s="458"/>
      <c r="FR402" s="458"/>
      <c r="FS402" s="458"/>
      <c r="FT402" s="458"/>
      <c r="FU402" s="458"/>
      <c r="FV402" s="458"/>
      <c r="FW402" s="458"/>
      <c r="FX402" s="458"/>
      <c r="FY402" s="458"/>
      <c r="FZ402" s="458"/>
      <c r="GA402" s="458"/>
      <c r="GB402" s="458"/>
      <c r="GC402" s="458"/>
      <c r="GD402" s="458"/>
      <c r="GE402" s="458"/>
      <c r="GF402" s="458"/>
      <c r="GG402" s="458"/>
      <c r="GH402" s="458"/>
      <c r="GI402" s="458"/>
      <c r="GJ402" s="458"/>
      <c r="GK402" s="458"/>
      <c r="GL402" s="458"/>
      <c r="GM402" s="458"/>
      <c r="GN402" s="458"/>
      <c r="GO402" s="458"/>
      <c r="GP402" s="458"/>
      <c r="GQ402" s="458"/>
      <c r="GR402" s="458"/>
      <c r="GS402" s="458"/>
      <c r="GT402" s="458"/>
      <c r="GU402" s="458"/>
      <c r="GV402" s="458"/>
      <c r="GW402" s="458"/>
      <c r="GX402" s="458"/>
      <c r="GY402" s="458"/>
      <c r="GZ402" s="458"/>
      <c r="HA402" s="458"/>
      <c r="HB402" s="458"/>
      <c r="HC402" s="458"/>
      <c r="HD402" s="458"/>
      <c r="HE402" s="458"/>
      <c r="HF402" s="458"/>
      <c r="HG402" s="458"/>
      <c r="HH402" s="458"/>
      <c r="HI402" s="458"/>
      <c r="HJ402" s="458"/>
      <c r="HK402" s="458"/>
      <c r="HL402" s="458"/>
      <c r="HM402" s="458"/>
      <c r="HN402" s="458"/>
      <c r="HO402" s="458"/>
      <c r="HP402" s="458"/>
      <c r="HQ402" s="458"/>
      <c r="HR402" s="458"/>
      <c r="HS402" s="458"/>
      <c r="HT402" s="458"/>
      <c r="HU402" s="458"/>
      <c r="HV402" s="458"/>
      <c r="HW402" s="458"/>
      <c r="HX402" s="458"/>
      <c r="HY402" s="458"/>
      <c r="HZ402" s="458"/>
      <c r="IA402" s="458"/>
      <c r="IB402" s="458"/>
      <c r="IC402" s="458"/>
      <c r="ID402" s="458"/>
      <c r="IE402" s="10"/>
      <c r="IF402" s="459"/>
      <c r="IG402" s="459"/>
      <c r="IH402" s="459"/>
    </row>
    <row r="403" spans="2:242" s="460" customFormat="1" ht="18.75" customHeight="1" x14ac:dyDescent="0.3">
      <c r="B403" s="462"/>
      <c r="C403" s="463"/>
      <c r="D403" s="464"/>
      <c r="E403" s="453"/>
      <c r="F403" s="453"/>
      <c r="G403" s="453"/>
      <c r="H403" s="453"/>
      <c r="I403" s="453"/>
      <c r="J403" s="453"/>
      <c r="K403" s="453"/>
      <c r="L403" s="453"/>
      <c r="M403" s="453"/>
      <c r="N403" s="458"/>
      <c r="O403" s="458"/>
      <c r="P403" s="458"/>
      <c r="Q403" s="458"/>
      <c r="R403" s="458"/>
      <c r="S403" s="458"/>
      <c r="T403" s="453"/>
      <c r="U403" s="453"/>
      <c r="V403" s="453"/>
      <c r="W403" s="453"/>
      <c r="X403" s="453"/>
      <c r="Y403" s="453"/>
      <c r="Z403" s="453"/>
      <c r="AA403" s="453"/>
      <c r="AB403" s="453"/>
      <c r="AC403" s="458"/>
      <c r="AD403" s="453"/>
      <c r="AE403" s="453"/>
      <c r="AF403" s="458"/>
      <c r="AG403" s="453"/>
      <c r="AH403" s="453"/>
      <c r="AI403" s="458"/>
      <c r="AJ403" s="458"/>
      <c r="AK403" s="458"/>
      <c r="AL403" s="458"/>
      <c r="AM403" s="458"/>
      <c r="AN403" s="458"/>
      <c r="AO403" s="458"/>
      <c r="AP403" s="458"/>
      <c r="AQ403" s="458"/>
      <c r="AR403" s="458"/>
      <c r="AS403" s="453"/>
      <c r="AT403" s="458"/>
      <c r="AU403" s="458"/>
      <c r="AV403" s="453"/>
      <c r="AW403" s="453"/>
      <c r="AX403" s="453"/>
      <c r="AY403" s="453"/>
      <c r="AZ403" s="458"/>
      <c r="BA403" s="458"/>
      <c r="BB403" s="453"/>
      <c r="BC403" s="453"/>
      <c r="BD403" s="453"/>
      <c r="BE403" s="453"/>
      <c r="BF403" s="453"/>
      <c r="BG403" s="453"/>
      <c r="BH403" s="453"/>
      <c r="BI403" s="458"/>
      <c r="BJ403" s="458"/>
      <c r="BK403" s="458"/>
      <c r="BL403" s="458"/>
      <c r="BM403" s="458"/>
      <c r="BN403" s="458"/>
      <c r="BO403" s="458"/>
      <c r="BP403" s="458"/>
      <c r="BQ403" s="458"/>
      <c r="BR403" s="458"/>
      <c r="BS403" s="458"/>
      <c r="BT403" s="458"/>
      <c r="BU403" s="458"/>
      <c r="BV403" s="453"/>
      <c r="BW403" s="453"/>
      <c r="BX403" s="453"/>
      <c r="BY403" s="453"/>
      <c r="BZ403" s="453"/>
      <c r="CA403" s="453"/>
      <c r="CB403" s="453"/>
      <c r="CC403" s="453"/>
      <c r="CD403" s="453"/>
      <c r="CE403" s="458"/>
      <c r="CF403" s="458"/>
      <c r="CG403" s="459"/>
      <c r="CH403" s="453"/>
      <c r="CI403" s="458"/>
      <c r="CJ403" s="458"/>
      <c r="CK403" s="453"/>
      <c r="CL403" s="453"/>
      <c r="CM403" s="453"/>
      <c r="CN403" s="453"/>
      <c r="CO403" s="453"/>
      <c r="CP403" s="453"/>
      <c r="CQ403" s="453"/>
      <c r="CR403" s="458"/>
      <c r="CS403" s="458"/>
      <c r="CT403" s="453"/>
      <c r="CU403" s="453"/>
      <c r="CV403" s="453"/>
      <c r="CW403" s="453"/>
      <c r="CX403" s="453"/>
      <c r="CY403" s="453"/>
      <c r="CZ403" s="453"/>
      <c r="DA403" s="458"/>
      <c r="DB403" s="458"/>
      <c r="DC403" s="458"/>
      <c r="DD403" s="458"/>
      <c r="DE403" s="458"/>
      <c r="DF403" s="458"/>
      <c r="DG403" s="458"/>
      <c r="DH403" s="458"/>
      <c r="DI403" s="458"/>
      <c r="DJ403" s="458"/>
      <c r="DK403" s="458"/>
      <c r="DL403" s="458"/>
      <c r="DM403" s="458"/>
      <c r="DN403" s="458"/>
      <c r="DO403" s="458"/>
      <c r="DP403" s="458"/>
      <c r="DQ403" s="458"/>
      <c r="DR403" s="458"/>
      <c r="DS403" s="458"/>
      <c r="DT403" s="458"/>
      <c r="DU403" s="458"/>
      <c r="DV403" s="458"/>
      <c r="DW403" s="458"/>
      <c r="DX403" s="453"/>
      <c r="DY403" s="458"/>
      <c r="DZ403" s="458"/>
      <c r="EA403" s="458"/>
      <c r="EB403" s="458"/>
      <c r="EC403" s="458"/>
      <c r="ED403" s="458"/>
      <c r="EE403" s="458"/>
      <c r="EF403" s="458"/>
      <c r="EG403" s="458"/>
      <c r="EH403" s="458"/>
      <c r="EI403" s="458"/>
      <c r="EJ403" s="458"/>
      <c r="EK403" s="458"/>
      <c r="EL403" s="458"/>
      <c r="EM403" s="458"/>
      <c r="EN403" s="458"/>
      <c r="EO403" s="458"/>
      <c r="EP403" s="458"/>
      <c r="EQ403" s="458"/>
      <c r="ER403" s="458"/>
      <c r="ES403" s="458"/>
      <c r="ET403" s="458"/>
      <c r="EU403" s="458"/>
      <c r="EV403" s="458"/>
      <c r="EW403" s="458"/>
      <c r="EX403" s="458"/>
      <c r="EY403" s="458"/>
      <c r="EZ403" s="458"/>
      <c r="FA403" s="458"/>
      <c r="FB403" s="458"/>
      <c r="FC403" s="458"/>
      <c r="FD403" s="458"/>
      <c r="FE403" s="458"/>
      <c r="FF403" s="458"/>
      <c r="FG403" s="458"/>
      <c r="FH403" s="458"/>
      <c r="FI403" s="458"/>
      <c r="FJ403" s="458"/>
      <c r="FK403" s="458"/>
      <c r="FL403" s="458"/>
      <c r="FM403" s="458"/>
      <c r="FN403" s="458"/>
      <c r="FO403" s="458"/>
      <c r="FP403" s="458"/>
      <c r="FQ403" s="458"/>
      <c r="FR403" s="458"/>
      <c r="FS403" s="458"/>
      <c r="FT403" s="458"/>
      <c r="FU403" s="458"/>
      <c r="FV403" s="458"/>
      <c r="FW403" s="458"/>
      <c r="FX403" s="458"/>
      <c r="FY403" s="458"/>
      <c r="FZ403" s="458"/>
      <c r="GA403" s="458"/>
      <c r="GB403" s="458"/>
      <c r="GC403" s="458"/>
      <c r="GD403" s="458"/>
      <c r="GE403" s="458"/>
      <c r="GF403" s="458"/>
      <c r="GG403" s="458"/>
      <c r="GH403" s="458"/>
      <c r="GI403" s="458"/>
      <c r="GJ403" s="458"/>
      <c r="GK403" s="458"/>
      <c r="GL403" s="458"/>
      <c r="GM403" s="458"/>
      <c r="GN403" s="458"/>
      <c r="GO403" s="458"/>
      <c r="GP403" s="458"/>
      <c r="GQ403" s="458"/>
      <c r="GR403" s="458"/>
      <c r="GS403" s="458"/>
      <c r="GT403" s="458"/>
      <c r="GU403" s="458"/>
      <c r="GV403" s="458"/>
      <c r="GW403" s="458"/>
      <c r="GX403" s="458"/>
      <c r="GY403" s="458"/>
      <c r="GZ403" s="458"/>
      <c r="HA403" s="458"/>
      <c r="HB403" s="458"/>
      <c r="HC403" s="458"/>
      <c r="HD403" s="458"/>
      <c r="HE403" s="458"/>
      <c r="HF403" s="458"/>
      <c r="HG403" s="458"/>
      <c r="HH403" s="458"/>
      <c r="HI403" s="458"/>
      <c r="HJ403" s="458"/>
      <c r="HK403" s="458"/>
      <c r="HL403" s="458"/>
      <c r="HM403" s="458"/>
      <c r="HN403" s="458"/>
      <c r="HO403" s="458"/>
      <c r="HP403" s="458"/>
      <c r="HQ403" s="458"/>
      <c r="HR403" s="458"/>
      <c r="HS403" s="458"/>
      <c r="HT403" s="458"/>
      <c r="HU403" s="458"/>
      <c r="HV403" s="458"/>
      <c r="HW403" s="458"/>
      <c r="HX403" s="458"/>
      <c r="HY403" s="458"/>
      <c r="HZ403" s="458"/>
      <c r="IA403" s="458"/>
      <c r="IB403" s="458"/>
      <c r="IC403" s="458"/>
      <c r="ID403" s="458"/>
      <c r="IE403" s="10"/>
      <c r="IF403" s="459"/>
      <c r="IG403" s="459"/>
      <c r="IH403" s="459"/>
    </row>
    <row r="404" spans="2:242" s="12" customFormat="1" ht="15" customHeight="1" x14ac:dyDescent="0.25">
      <c r="B404" s="442"/>
      <c r="C404" s="443"/>
      <c r="D404" s="444"/>
      <c r="E404" s="11"/>
      <c r="F404" s="11"/>
      <c r="G404" s="11"/>
      <c r="H404" s="11"/>
      <c r="I404" s="11"/>
      <c r="J404" s="11"/>
      <c r="K404" s="11"/>
      <c r="L404" s="11"/>
      <c r="M404" s="11"/>
      <c r="N404" s="459"/>
      <c r="O404" s="459"/>
      <c r="P404" s="459"/>
      <c r="Q404" s="459"/>
      <c r="R404" s="459"/>
      <c r="S404" s="459"/>
      <c r="T404" s="11"/>
      <c r="U404" s="11"/>
      <c r="V404" s="11"/>
      <c r="W404" s="11"/>
      <c r="X404" s="11"/>
      <c r="Y404" s="11"/>
      <c r="Z404" s="11"/>
      <c r="AA404" s="11"/>
      <c r="AB404" s="11"/>
      <c r="AC404" s="459"/>
      <c r="AD404" s="11"/>
      <c r="AE404" s="11"/>
      <c r="AF404" s="459"/>
      <c r="AG404" s="11"/>
      <c r="AH404" s="11"/>
      <c r="AI404" s="459"/>
      <c r="AJ404" s="459"/>
      <c r="AK404" s="459"/>
      <c r="AL404" s="459"/>
      <c r="AM404" s="459"/>
      <c r="AN404" s="459"/>
      <c r="AO404" s="459"/>
      <c r="AP404" s="459"/>
      <c r="AQ404" s="459"/>
      <c r="AR404" s="459"/>
      <c r="AS404" s="11"/>
      <c r="AT404" s="459"/>
      <c r="AU404" s="459"/>
      <c r="AV404" s="11"/>
      <c r="AW404" s="11"/>
      <c r="AX404" s="11"/>
      <c r="AY404" s="11"/>
      <c r="AZ404" s="459"/>
      <c r="BA404" s="459"/>
      <c r="BB404" s="11"/>
      <c r="BC404" s="11"/>
      <c r="BD404" s="11"/>
      <c r="BE404" s="11"/>
      <c r="BF404" s="11"/>
      <c r="BG404" s="11"/>
      <c r="BH404" s="11"/>
      <c r="BI404" s="459"/>
      <c r="BJ404" s="459"/>
      <c r="BK404" s="459"/>
      <c r="BL404" s="459"/>
      <c r="BM404" s="459"/>
      <c r="BN404" s="459"/>
      <c r="BO404" s="459"/>
      <c r="BP404" s="459"/>
      <c r="BQ404" s="459"/>
      <c r="BR404" s="459"/>
      <c r="BS404" s="459"/>
      <c r="BT404" s="459"/>
      <c r="BU404" s="459"/>
      <c r="BV404" s="11"/>
      <c r="BW404" s="11"/>
      <c r="BX404" s="11"/>
      <c r="BY404" s="11"/>
      <c r="BZ404" s="11"/>
      <c r="CA404" s="11"/>
      <c r="CB404" s="11"/>
      <c r="CC404" s="11"/>
      <c r="CD404" s="11"/>
      <c r="CE404" s="459"/>
      <c r="CF404" s="459"/>
      <c r="CG404" s="459"/>
      <c r="CH404" s="11"/>
      <c r="CI404" s="459"/>
      <c r="CJ404" s="459"/>
      <c r="CK404" s="11"/>
      <c r="CL404" s="11"/>
      <c r="CM404" s="11"/>
      <c r="CN404" s="11"/>
      <c r="CO404" s="11"/>
      <c r="CP404" s="11"/>
      <c r="CQ404" s="11"/>
      <c r="CR404" s="459"/>
      <c r="CS404" s="459"/>
      <c r="CT404" s="11"/>
      <c r="CU404" s="11"/>
      <c r="CV404" s="11"/>
      <c r="CW404" s="11"/>
      <c r="CX404" s="11"/>
      <c r="CY404" s="11"/>
      <c r="CZ404" s="11"/>
      <c r="DA404" s="459"/>
      <c r="DB404" s="459"/>
      <c r="DC404" s="459"/>
      <c r="DD404" s="459"/>
      <c r="DE404" s="459"/>
      <c r="DF404" s="459"/>
      <c r="DG404" s="459"/>
      <c r="DH404" s="459"/>
      <c r="DI404" s="459"/>
      <c r="DJ404" s="459"/>
      <c r="DK404" s="459"/>
      <c r="DL404" s="459"/>
      <c r="DM404" s="459"/>
      <c r="DN404" s="459"/>
      <c r="DO404" s="459"/>
      <c r="DP404" s="459"/>
      <c r="DQ404" s="459"/>
      <c r="DR404" s="459"/>
      <c r="DS404" s="459"/>
      <c r="DT404" s="459"/>
      <c r="DU404" s="459"/>
      <c r="DV404" s="459"/>
      <c r="DW404" s="459"/>
      <c r="DX404" s="11"/>
      <c r="DY404" s="459"/>
      <c r="DZ404" s="459"/>
      <c r="EA404" s="459"/>
      <c r="EB404" s="459"/>
      <c r="EC404" s="459"/>
      <c r="ED404" s="459"/>
      <c r="EE404" s="459"/>
      <c r="EF404" s="459"/>
      <c r="EG404" s="459"/>
      <c r="EH404" s="459"/>
      <c r="EI404" s="459"/>
      <c r="EJ404" s="459"/>
      <c r="EK404" s="459"/>
      <c r="EL404" s="459"/>
      <c r="EM404" s="459"/>
      <c r="EN404" s="459"/>
      <c r="EO404" s="459"/>
      <c r="EP404" s="459"/>
      <c r="EQ404" s="459"/>
      <c r="ER404" s="459"/>
      <c r="ES404" s="459"/>
      <c r="ET404" s="459"/>
      <c r="EU404" s="459"/>
      <c r="EV404" s="459"/>
      <c r="EW404" s="459"/>
      <c r="EX404" s="459"/>
      <c r="EY404" s="459"/>
      <c r="EZ404" s="459"/>
      <c r="FA404" s="459"/>
      <c r="FB404" s="459"/>
      <c r="FC404" s="459"/>
      <c r="FD404" s="459"/>
      <c r="FE404" s="459"/>
      <c r="FF404" s="459"/>
      <c r="FG404" s="459"/>
      <c r="FH404" s="459"/>
      <c r="FI404" s="459"/>
      <c r="FJ404" s="459"/>
      <c r="FK404" s="459"/>
      <c r="FL404" s="459"/>
      <c r="FM404" s="459"/>
      <c r="FN404" s="459"/>
      <c r="FO404" s="459"/>
      <c r="FP404" s="459"/>
      <c r="FQ404" s="459"/>
      <c r="FR404" s="459"/>
      <c r="FS404" s="459"/>
      <c r="FT404" s="459"/>
      <c r="FU404" s="459"/>
      <c r="FV404" s="459"/>
      <c r="FW404" s="459"/>
      <c r="FX404" s="459"/>
      <c r="FY404" s="459"/>
      <c r="FZ404" s="459"/>
      <c r="GA404" s="459"/>
      <c r="GB404" s="459"/>
      <c r="GC404" s="459"/>
      <c r="GD404" s="459"/>
      <c r="GE404" s="459"/>
      <c r="GF404" s="459"/>
      <c r="GG404" s="459"/>
      <c r="GH404" s="459"/>
      <c r="GI404" s="459"/>
      <c r="GJ404" s="459"/>
      <c r="GK404" s="459"/>
      <c r="GL404" s="459"/>
      <c r="GM404" s="459"/>
      <c r="GN404" s="459"/>
      <c r="GO404" s="459"/>
      <c r="GP404" s="459"/>
      <c r="GQ404" s="459"/>
      <c r="GR404" s="459"/>
      <c r="GS404" s="459"/>
      <c r="GT404" s="459"/>
      <c r="GU404" s="459"/>
      <c r="GV404" s="459"/>
      <c r="GW404" s="459"/>
      <c r="GX404" s="459"/>
      <c r="GY404" s="459"/>
      <c r="GZ404" s="459"/>
      <c r="HA404" s="459"/>
      <c r="HB404" s="459"/>
      <c r="HC404" s="459"/>
      <c r="HD404" s="459"/>
      <c r="HE404" s="459"/>
      <c r="HF404" s="459"/>
      <c r="HG404" s="459"/>
      <c r="HH404" s="459"/>
      <c r="HI404" s="459"/>
      <c r="HJ404" s="459"/>
      <c r="HK404" s="459"/>
      <c r="HL404" s="459"/>
      <c r="HM404" s="459"/>
      <c r="HN404" s="459"/>
      <c r="HO404" s="459"/>
      <c r="HP404" s="459"/>
      <c r="HQ404" s="459"/>
      <c r="HR404" s="459"/>
      <c r="HS404" s="459"/>
      <c r="HT404" s="459"/>
      <c r="HU404" s="459"/>
      <c r="HV404" s="459"/>
      <c r="HW404" s="459"/>
      <c r="HX404" s="459"/>
      <c r="HY404" s="459"/>
      <c r="HZ404" s="459"/>
      <c r="IA404" s="459"/>
      <c r="IB404" s="459"/>
      <c r="IC404" s="459"/>
      <c r="ID404" s="459"/>
      <c r="IE404" s="10"/>
      <c r="IF404" s="459"/>
      <c r="IG404" s="459"/>
      <c r="IH404" s="459"/>
    </row>
    <row r="405" spans="2:242" s="12" customFormat="1" ht="15" customHeight="1" x14ac:dyDescent="0.25">
      <c r="B405" s="442"/>
      <c r="C405" s="443"/>
      <c r="D405" s="444"/>
      <c r="E405" s="11"/>
      <c r="F405" s="11"/>
      <c r="G405" s="11"/>
      <c r="H405" s="11"/>
      <c r="I405" s="11"/>
      <c r="J405" s="11"/>
      <c r="K405" s="11"/>
      <c r="L405" s="11"/>
      <c r="M405" s="11"/>
      <c r="N405" s="459"/>
      <c r="O405" s="459"/>
      <c r="P405" s="459"/>
      <c r="Q405" s="459"/>
      <c r="R405" s="459"/>
      <c r="S405" s="459"/>
      <c r="T405" s="11"/>
      <c r="U405" s="11"/>
      <c r="V405" s="11"/>
      <c r="W405" s="11"/>
      <c r="X405" s="11"/>
      <c r="Y405" s="11"/>
      <c r="Z405" s="11"/>
      <c r="AA405" s="11"/>
      <c r="AB405" s="11"/>
      <c r="AC405" s="459"/>
      <c r="AD405" s="11"/>
      <c r="AE405" s="11"/>
      <c r="AF405" s="459"/>
      <c r="AG405" s="11"/>
      <c r="AH405" s="11"/>
      <c r="AI405" s="459"/>
      <c r="AJ405" s="459"/>
      <c r="AK405" s="459"/>
      <c r="AL405" s="459"/>
      <c r="AM405" s="459"/>
      <c r="AN405" s="459"/>
      <c r="AO405" s="459"/>
      <c r="AP405" s="459"/>
      <c r="AQ405" s="459"/>
      <c r="AR405" s="459"/>
      <c r="AS405" s="11"/>
      <c r="AT405" s="459"/>
      <c r="AU405" s="459"/>
      <c r="AV405" s="11"/>
      <c r="AW405" s="11"/>
      <c r="AX405" s="11"/>
      <c r="AY405" s="11"/>
      <c r="AZ405" s="459"/>
      <c r="BA405" s="459"/>
      <c r="BB405" s="11"/>
      <c r="BC405" s="11"/>
      <c r="BD405" s="11"/>
      <c r="BE405" s="11"/>
      <c r="BF405" s="11"/>
      <c r="BG405" s="11"/>
      <c r="BH405" s="11"/>
      <c r="BI405" s="459"/>
      <c r="BJ405" s="459"/>
      <c r="BK405" s="459"/>
      <c r="BL405" s="459"/>
      <c r="BM405" s="459"/>
      <c r="BN405" s="459"/>
      <c r="BO405" s="459"/>
      <c r="BP405" s="459"/>
      <c r="BQ405" s="459"/>
      <c r="BR405" s="459"/>
      <c r="BS405" s="459"/>
      <c r="BT405" s="459"/>
      <c r="BU405" s="459"/>
      <c r="BV405" s="11"/>
      <c r="BW405" s="11"/>
      <c r="BX405" s="11"/>
      <c r="BY405" s="11"/>
      <c r="BZ405" s="11"/>
      <c r="CA405" s="11"/>
      <c r="CB405" s="11"/>
      <c r="CC405" s="11"/>
      <c r="CD405" s="11"/>
      <c r="CE405" s="459"/>
      <c r="CF405" s="459"/>
      <c r="CG405" s="459"/>
      <c r="CH405" s="11"/>
      <c r="CI405" s="459"/>
      <c r="CJ405" s="459"/>
      <c r="CK405" s="11"/>
      <c r="CL405" s="11"/>
      <c r="CM405" s="11"/>
      <c r="CN405" s="11"/>
      <c r="CO405" s="11"/>
      <c r="CP405" s="11"/>
      <c r="CQ405" s="11"/>
      <c r="CR405" s="459"/>
      <c r="CS405" s="459"/>
      <c r="CT405" s="11"/>
      <c r="CU405" s="11"/>
      <c r="CV405" s="11"/>
      <c r="CW405" s="11"/>
      <c r="CX405" s="11"/>
      <c r="CY405" s="11"/>
      <c r="CZ405" s="11"/>
      <c r="DA405" s="459"/>
      <c r="DB405" s="459"/>
      <c r="DC405" s="459"/>
      <c r="DD405" s="459"/>
      <c r="DE405" s="459"/>
      <c r="DF405" s="459"/>
      <c r="DG405" s="459"/>
      <c r="DH405" s="459"/>
      <c r="DI405" s="459"/>
      <c r="DJ405" s="459"/>
      <c r="DK405" s="459"/>
      <c r="DL405" s="459"/>
      <c r="DM405" s="459"/>
      <c r="DN405" s="459"/>
      <c r="DO405" s="459"/>
      <c r="DP405" s="459"/>
      <c r="DQ405" s="459"/>
      <c r="DR405" s="459"/>
      <c r="DS405" s="459"/>
      <c r="DT405" s="459"/>
      <c r="DU405" s="459"/>
      <c r="DV405" s="459"/>
      <c r="DW405" s="459"/>
      <c r="DX405" s="11"/>
      <c r="DY405" s="459"/>
      <c r="DZ405" s="459"/>
      <c r="EA405" s="459"/>
      <c r="EB405" s="459"/>
      <c r="EC405" s="459"/>
      <c r="ED405" s="459"/>
      <c r="EE405" s="459"/>
      <c r="EF405" s="459"/>
      <c r="EG405" s="459"/>
      <c r="EH405" s="459"/>
      <c r="EI405" s="459"/>
      <c r="EJ405" s="459"/>
      <c r="EK405" s="459"/>
      <c r="EL405" s="459"/>
      <c r="EM405" s="459"/>
      <c r="EN405" s="459"/>
      <c r="EO405" s="459"/>
      <c r="EP405" s="459"/>
      <c r="EQ405" s="459"/>
      <c r="ER405" s="459"/>
      <c r="ES405" s="459"/>
      <c r="ET405" s="459"/>
      <c r="EU405" s="459"/>
      <c r="EV405" s="459"/>
      <c r="EW405" s="459"/>
      <c r="EX405" s="459"/>
      <c r="EY405" s="459"/>
      <c r="EZ405" s="459"/>
      <c r="FA405" s="459"/>
      <c r="FB405" s="459"/>
      <c r="FC405" s="459"/>
      <c r="FD405" s="459"/>
      <c r="FE405" s="459"/>
      <c r="FF405" s="459"/>
      <c r="FG405" s="459"/>
      <c r="FH405" s="459"/>
      <c r="FI405" s="459"/>
      <c r="FJ405" s="459"/>
      <c r="FK405" s="459"/>
      <c r="FL405" s="459"/>
      <c r="FM405" s="459"/>
      <c r="FN405" s="459"/>
      <c r="FO405" s="459"/>
      <c r="FP405" s="459"/>
      <c r="FQ405" s="459"/>
      <c r="FR405" s="459"/>
      <c r="FS405" s="459"/>
      <c r="FT405" s="459"/>
      <c r="FU405" s="459"/>
      <c r="FV405" s="459"/>
      <c r="FW405" s="459"/>
      <c r="FX405" s="459"/>
      <c r="FY405" s="459"/>
      <c r="FZ405" s="459"/>
      <c r="GA405" s="459"/>
      <c r="GB405" s="459"/>
      <c r="GC405" s="459"/>
      <c r="GD405" s="459"/>
      <c r="GE405" s="459"/>
      <c r="GF405" s="459"/>
      <c r="GG405" s="459"/>
      <c r="GH405" s="459"/>
      <c r="GI405" s="459"/>
      <c r="GJ405" s="459"/>
      <c r="GK405" s="459"/>
      <c r="GL405" s="459"/>
      <c r="GM405" s="459"/>
      <c r="GN405" s="459"/>
      <c r="GO405" s="459"/>
      <c r="GP405" s="459"/>
      <c r="GQ405" s="459"/>
      <c r="GR405" s="459"/>
      <c r="GS405" s="459"/>
      <c r="GT405" s="459"/>
      <c r="GU405" s="459"/>
      <c r="GV405" s="459"/>
      <c r="GW405" s="459"/>
      <c r="GX405" s="459"/>
      <c r="GY405" s="459"/>
      <c r="GZ405" s="459"/>
      <c r="HA405" s="459"/>
      <c r="HB405" s="459"/>
      <c r="HC405" s="459"/>
      <c r="HD405" s="459"/>
      <c r="HE405" s="459"/>
      <c r="HF405" s="459"/>
      <c r="HG405" s="459"/>
      <c r="HH405" s="459"/>
      <c r="HI405" s="459"/>
      <c r="HJ405" s="459"/>
      <c r="HK405" s="459"/>
      <c r="HL405" s="459"/>
      <c r="HM405" s="459"/>
      <c r="HN405" s="459"/>
      <c r="HO405" s="459"/>
      <c r="HP405" s="459"/>
      <c r="HQ405" s="459"/>
      <c r="HR405" s="459"/>
      <c r="HS405" s="459"/>
      <c r="HT405" s="459"/>
      <c r="HU405" s="459"/>
      <c r="HV405" s="459"/>
      <c r="HW405" s="459"/>
      <c r="HX405" s="459"/>
      <c r="HY405" s="459"/>
      <c r="HZ405" s="459"/>
      <c r="IA405" s="459"/>
      <c r="IB405" s="459"/>
      <c r="IC405" s="459"/>
      <c r="ID405" s="459"/>
      <c r="IE405" s="10"/>
      <c r="IF405" s="459"/>
      <c r="IG405" s="459"/>
      <c r="IH405" s="459"/>
    </row>
    <row r="406" spans="2:242" s="12" customFormat="1" ht="15" customHeight="1" x14ac:dyDescent="0.25">
      <c r="B406" s="442"/>
      <c r="C406" s="443"/>
      <c r="D406" s="444"/>
      <c r="E406" s="11"/>
      <c r="F406" s="11"/>
      <c r="G406" s="11"/>
      <c r="H406" s="11"/>
      <c r="I406" s="11"/>
      <c r="J406" s="11"/>
      <c r="K406" s="11"/>
      <c r="L406" s="11"/>
      <c r="M406" s="11"/>
      <c r="N406" s="459"/>
      <c r="O406" s="459"/>
      <c r="P406" s="459"/>
      <c r="Q406" s="459"/>
      <c r="R406" s="459"/>
      <c r="S406" s="459"/>
      <c r="T406" s="11"/>
      <c r="U406" s="11"/>
      <c r="V406" s="11"/>
      <c r="W406" s="11"/>
      <c r="X406" s="11"/>
      <c r="Y406" s="11"/>
      <c r="Z406" s="11"/>
      <c r="AA406" s="11"/>
      <c r="AB406" s="11"/>
      <c r="AC406" s="459"/>
      <c r="AD406" s="11"/>
      <c r="AE406" s="11"/>
      <c r="AF406" s="459"/>
      <c r="AG406" s="11"/>
      <c r="AH406" s="11"/>
      <c r="AI406" s="459"/>
      <c r="AJ406" s="459"/>
      <c r="AK406" s="459"/>
      <c r="AL406" s="459"/>
      <c r="AM406" s="459"/>
      <c r="AN406" s="459"/>
      <c r="AO406" s="459"/>
      <c r="AP406" s="459"/>
      <c r="AQ406" s="459"/>
      <c r="AR406" s="459"/>
      <c r="AS406" s="11"/>
      <c r="AT406" s="459"/>
      <c r="AU406" s="459"/>
      <c r="AV406" s="11"/>
      <c r="AW406" s="11"/>
      <c r="AX406" s="11"/>
      <c r="AY406" s="11"/>
      <c r="AZ406" s="459"/>
      <c r="BA406" s="459"/>
      <c r="BB406" s="11"/>
      <c r="BC406" s="11"/>
      <c r="BD406" s="11"/>
      <c r="BE406" s="11"/>
      <c r="BF406" s="11"/>
      <c r="BG406" s="11"/>
      <c r="BH406" s="11"/>
      <c r="BI406" s="459"/>
      <c r="BJ406" s="459"/>
      <c r="BK406" s="459"/>
      <c r="BL406" s="459"/>
      <c r="BM406" s="459"/>
      <c r="BN406" s="459"/>
      <c r="BO406" s="459"/>
      <c r="BP406" s="459"/>
      <c r="BQ406" s="459"/>
      <c r="BR406" s="459"/>
      <c r="BS406" s="459"/>
      <c r="BT406" s="459"/>
      <c r="BU406" s="459"/>
      <c r="BV406" s="11"/>
      <c r="BW406" s="11"/>
      <c r="BX406" s="11"/>
      <c r="BY406" s="11"/>
      <c r="BZ406" s="11"/>
      <c r="CA406" s="11"/>
      <c r="CB406" s="11"/>
      <c r="CC406" s="11"/>
      <c r="CD406" s="11"/>
      <c r="CE406" s="459"/>
      <c r="CF406" s="459"/>
      <c r="CG406" s="459"/>
      <c r="CH406" s="11"/>
      <c r="CI406" s="459"/>
      <c r="CJ406" s="459"/>
      <c r="CK406" s="11"/>
      <c r="CL406" s="11"/>
      <c r="CM406" s="11"/>
      <c r="CN406" s="11"/>
      <c r="CO406" s="11"/>
      <c r="CP406" s="11"/>
      <c r="CQ406" s="11"/>
      <c r="CR406" s="459"/>
      <c r="CS406" s="459"/>
      <c r="CT406" s="11"/>
      <c r="CU406" s="11"/>
      <c r="CV406" s="11"/>
      <c r="CW406" s="11"/>
      <c r="CX406" s="11"/>
      <c r="CY406" s="11"/>
      <c r="CZ406" s="11"/>
      <c r="DA406" s="459"/>
      <c r="DB406" s="459"/>
      <c r="DC406" s="459"/>
      <c r="DD406" s="459"/>
      <c r="DE406" s="459"/>
      <c r="DF406" s="459"/>
      <c r="DG406" s="459"/>
      <c r="DH406" s="459"/>
      <c r="DI406" s="459"/>
      <c r="DJ406" s="459"/>
      <c r="DK406" s="459"/>
      <c r="DL406" s="459"/>
      <c r="DM406" s="459"/>
      <c r="DN406" s="459"/>
      <c r="DO406" s="459"/>
      <c r="DP406" s="459"/>
      <c r="DQ406" s="459"/>
      <c r="DR406" s="459"/>
      <c r="DS406" s="459"/>
      <c r="DT406" s="459"/>
      <c r="DU406" s="459"/>
      <c r="DV406" s="459"/>
      <c r="DW406" s="459"/>
      <c r="DX406" s="11"/>
      <c r="DY406" s="459"/>
      <c r="DZ406" s="459"/>
      <c r="EA406" s="459"/>
      <c r="EB406" s="459"/>
      <c r="EC406" s="459"/>
      <c r="ED406" s="459"/>
      <c r="EE406" s="459"/>
      <c r="EF406" s="459"/>
      <c r="EG406" s="459"/>
      <c r="EH406" s="459"/>
      <c r="EI406" s="459"/>
      <c r="EJ406" s="459"/>
      <c r="EK406" s="459"/>
      <c r="EL406" s="459"/>
      <c r="EM406" s="459"/>
      <c r="EN406" s="459"/>
      <c r="EO406" s="459"/>
      <c r="EP406" s="459"/>
      <c r="EQ406" s="459"/>
      <c r="ER406" s="459"/>
      <c r="ES406" s="459"/>
      <c r="ET406" s="459"/>
      <c r="EU406" s="459"/>
      <c r="EV406" s="459"/>
      <c r="EW406" s="459"/>
      <c r="EX406" s="459"/>
      <c r="EY406" s="459"/>
      <c r="EZ406" s="459"/>
      <c r="FA406" s="459"/>
      <c r="FB406" s="459"/>
      <c r="FC406" s="459"/>
      <c r="FD406" s="459"/>
      <c r="FE406" s="459"/>
      <c r="FF406" s="459"/>
      <c r="FG406" s="459"/>
      <c r="FH406" s="459"/>
      <c r="FI406" s="459"/>
      <c r="FJ406" s="459"/>
      <c r="FK406" s="459"/>
      <c r="FL406" s="459"/>
      <c r="FM406" s="459"/>
      <c r="FN406" s="459"/>
      <c r="FO406" s="459"/>
      <c r="FP406" s="459"/>
      <c r="FQ406" s="459"/>
      <c r="FR406" s="459"/>
      <c r="FS406" s="459"/>
      <c r="FT406" s="459"/>
      <c r="FU406" s="459"/>
      <c r="FV406" s="459"/>
      <c r="FW406" s="459"/>
      <c r="FX406" s="459"/>
      <c r="FY406" s="459"/>
      <c r="FZ406" s="459"/>
      <c r="GA406" s="459"/>
      <c r="GB406" s="459"/>
      <c r="GC406" s="459"/>
      <c r="GD406" s="459"/>
      <c r="GE406" s="459"/>
      <c r="GF406" s="459"/>
      <c r="GG406" s="459"/>
      <c r="GH406" s="459"/>
      <c r="GI406" s="459"/>
      <c r="GJ406" s="459"/>
      <c r="GK406" s="459"/>
      <c r="GL406" s="459"/>
      <c r="GM406" s="459"/>
      <c r="GN406" s="459"/>
      <c r="GO406" s="459"/>
      <c r="GP406" s="459"/>
      <c r="GQ406" s="459"/>
      <c r="GR406" s="459"/>
      <c r="GS406" s="459"/>
      <c r="GT406" s="459"/>
      <c r="GU406" s="459"/>
      <c r="GV406" s="459"/>
      <c r="GW406" s="459"/>
      <c r="GX406" s="459"/>
      <c r="GY406" s="459"/>
      <c r="GZ406" s="459"/>
      <c r="HA406" s="459"/>
      <c r="HB406" s="459"/>
      <c r="HC406" s="459"/>
      <c r="HD406" s="459"/>
      <c r="HE406" s="459"/>
      <c r="HF406" s="459"/>
      <c r="HG406" s="459"/>
      <c r="HH406" s="459"/>
      <c r="HI406" s="459"/>
      <c r="HJ406" s="459"/>
      <c r="HK406" s="459"/>
      <c r="HL406" s="459"/>
      <c r="HM406" s="459"/>
      <c r="HN406" s="459"/>
      <c r="HO406" s="459"/>
      <c r="HP406" s="459"/>
      <c r="HQ406" s="459"/>
      <c r="HR406" s="459"/>
      <c r="HS406" s="459"/>
      <c r="HT406" s="459"/>
      <c r="HU406" s="459"/>
      <c r="HV406" s="459"/>
      <c r="HW406" s="459"/>
      <c r="HX406" s="459"/>
      <c r="HY406" s="459"/>
      <c r="HZ406" s="459"/>
      <c r="IA406" s="459"/>
      <c r="IB406" s="459"/>
      <c r="IC406" s="459"/>
      <c r="ID406" s="459"/>
      <c r="IE406" s="10"/>
      <c r="IF406" s="459"/>
      <c r="IG406" s="459"/>
      <c r="IH406" s="459"/>
    </row>
    <row r="407" spans="2:242" s="12" customFormat="1" ht="15" customHeight="1" x14ac:dyDescent="0.25">
      <c r="B407" s="442"/>
      <c r="C407" s="443"/>
      <c r="D407" s="444"/>
      <c r="E407" s="11"/>
      <c r="F407" s="11"/>
      <c r="G407" s="11"/>
      <c r="H407" s="11"/>
      <c r="I407" s="11"/>
      <c r="J407" s="11"/>
      <c r="K407" s="11"/>
      <c r="L407" s="11"/>
      <c r="M407" s="11"/>
      <c r="N407" s="459"/>
      <c r="O407" s="459"/>
      <c r="P407" s="459"/>
      <c r="Q407" s="459"/>
      <c r="R407" s="459"/>
      <c r="S407" s="459"/>
      <c r="T407" s="11"/>
      <c r="U407" s="11"/>
      <c r="V407" s="11"/>
      <c r="W407" s="11"/>
      <c r="X407" s="11"/>
      <c r="Y407" s="11"/>
      <c r="Z407" s="11"/>
      <c r="AA407" s="11"/>
      <c r="AB407" s="11"/>
      <c r="AC407" s="459"/>
      <c r="AD407" s="11"/>
      <c r="AE407" s="11"/>
      <c r="AF407" s="459"/>
      <c r="AG407" s="11"/>
      <c r="AH407" s="11"/>
      <c r="AI407" s="459"/>
      <c r="AJ407" s="459"/>
      <c r="AK407" s="459"/>
      <c r="AL407" s="459"/>
      <c r="AM407" s="459"/>
      <c r="AN407" s="459"/>
      <c r="AO407" s="459"/>
      <c r="AP407" s="459"/>
      <c r="AQ407" s="459"/>
      <c r="AR407" s="459"/>
      <c r="AS407" s="11"/>
      <c r="AT407" s="459"/>
      <c r="AU407" s="459"/>
      <c r="AV407" s="11"/>
      <c r="AW407" s="11"/>
      <c r="AX407" s="11"/>
      <c r="AY407" s="11"/>
      <c r="AZ407" s="459"/>
      <c r="BA407" s="459"/>
      <c r="BB407" s="11"/>
      <c r="BC407" s="11"/>
      <c r="BD407" s="11"/>
      <c r="BE407" s="11"/>
      <c r="BF407" s="11"/>
      <c r="BG407" s="11"/>
      <c r="BH407" s="11"/>
      <c r="BI407" s="459"/>
      <c r="BJ407" s="459"/>
      <c r="BK407" s="459"/>
      <c r="BL407" s="459"/>
      <c r="BM407" s="459"/>
      <c r="BN407" s="459"/>
      <c r="BO407" s="459"/>
      <c r="BP407" s="459"/>
      <c r="BQ407" s="459"/>
      <c r="BR407" s="459"/>
      <c r="BS407" s="459"/>
      <c r="BT407" s="459"/>
      <c r="BU407" s="459"/>
      <c r="BV407" s="11"/>
      <c r="BW407" s="11"/>
      <c r="BX407" s="11"/>
      <c r="BY407" s="11"/>
      <c r="BZ407" s="11"/>
      <c r="CA407" s="11"/>
      <c r="CB407" s="11"/>
      <c r="CC407" s="11"/>
      <c r="CD407" s="11"/>
      <c r="CE407" s="459"/>
      <c r="CF407" s="459"/>
      <c r="CG407" s="459"/>
      <c r="CH407" s="11"/>
      <c r="CI407" s="459"/>
      <c r="CJ407" s="459"/>
      <c r="CK407" s="11"/>
      <c r="CL407" s="11"/>
      <c r="CM407" s="11"/>
      <c r="CN407" s="11"/>
      <c r="CO407" s="11"/>
      <c r="CP407" s="11"/>
      <c r="CQ407" s="11"/>
      <c r="CR407" s="459"/>
      <c r="CS407" s="459"/>
      <c r="CT407" s="11"/>
      <c r="CU407" s="11"/>
      <c r="CV407" s="11"/>
      <c r="CW407" s="11"/>
      <c r="CX407" s="11"/>
      <c r="CY407" s="11"/>
      <c r="CZ407" s="11"/>
      <c r="DA407" s="459"/>
      <c r="DB407" s="459"/>
      <c r="DC407" s="459"/>
      <c r="DD407" s="459"/>
      <c r="DE407" s="459"/>
      <c r="DF407" s="459"/>
      <c r="DG407" s="459"/>
      <c r="DH407" s="459"/>
      <c r="DI407" s="459"/>
      <c r="DJ407" s="459"/>
      <c r="DK407" s="459"/>
      <c r="DL407" s="459"/>
      <c r="DM407" s="459"/>
      <c r="DN407" s="459"/>
      <c r="DO407" s="459"/>
      <c r="DP407" s="459"/>
      <c r="DQ407" s="459"/>
      <c r="DR407" s="459"/>
      <c r="DS407" s="459"/>
      <c r="DT407" s="459"/>
      <c r="DU407" s="459"/>
      <c r="DV407" s="459"/>
      <c r="DW407" s="459"/>
      <c r="DX407" s="11"/>
      <c r="DY407" s="459"/>
      <c r="DZ407" s="459"/>
      <c r="EA407" s="459"/>
      <c r="EB407" s="459"/>
      <c r="EC407" s="459"/>
      <c r="ED407" s="459"/>
      <c r="EE407" s="459"/>
      <c r="EF407" s="459"/>
      <c r="EG407" s="459"/>
      <c r="EH407" s="459"/>
      <c r="EI407" s="459"/>
      <c r="EJ407" s="459"/>
      <c r="EK407" s="459"/>
      <c r="EL407" s="459"/>
      <c r="EM407" s="459"/>
      <c r="EN407" s="459"/>
      <c r="EO407" s="459"/>
      <c r="EP407" s="459"/>
      <c r="EQ407" s="459"/>
      <c r="ER407" s="459"/>
      <c r="ES407" s="459"/>
      <c r="ET407" s="459"/>
      <c r="EU407" s="459"/>
      <c r="EV407" s="459"/>
      <c r="EW407" s="459"/>
      <c r="EX407" s="459"/>
      <c r="EY407" s="459"/>
      <c r="EZ407" s="459"/>
      <c r="FA407" s="459"/>
      <c r="FB407" s="459"/>
      <c r="FC407" s="459"/>
      <c r="FD407" s="459"/>
      <c r="FE407" s="459"/>
      <c r="FF407" s="459"/>
      <c r="FG407" s="459"/>
      <c r="FH407" s="459"/>
      <c r="FI407" s="459"/>
      <c r="FJ407" s="459"/>
      <c r="FK407" s="459"/>
      <c r="FL407" s="459"/>
      <c r="FM407" s="459"/>
      <c r="FN407" s="459"/>
      <c r="FO407" s="459"/>
      <c r="FP407" s="459"/>
      <c r="FQ407" s="459"/>
      <c r="FR407" s="459"/>
      <c r="FS407" s="459"/>
      <c r="FT407" s="459"/>
      <c r="FU407" s="459"/>
      <c r="FV407" s="459"/>
      <c r="FW407" s="459"/>
      <c r="FX407" s="459"/>
      <c r="FY407" s="459"/>
      <c r="FZ407" s="459"/>
      <c r="GA407" s="459"/>
      <c r="GB407" s="459"/>
      <c r="GC407" s="459"/>
      <c r="GD407" s="459"/>
      <c r="GE407" s="459"/>
      <c r="GF407" s="459"/>
      <c r="GG407" s="459"/>
      <c r="GH407" s="459"/>
      <c r="GI407" s="459"/>
      <c r="GJ407" s="459"/>
      <c r="GK407" s="459"/>
      <c r="GL407" s="459"/>
      <c r="GM407" s="459"/>
      <c r="GN407" s="459"/>
      <c r="GO407" s="459"/>
      <c r="GP407" s="459"/>
      <c r="GQ407" s="459"/>
      <c r="GR407" s="459"/>
      <c r="GS407" s="459"/>
      <c r="GT407" s="459"/>
      <c r="GU407" s="459"/>
      <c r="GV407" s="459"/>
      <c r="GW407" s="459"/>
      <c r="GX407" s="459"/>
      <c r="GY407" s="459"/>
      <c r="GZ407" s="459"/>
      <c r="HA407" s="459"/>
      <c r="HB407" s="459"/>
      <c r="HC407" s="459"/>
      <c r="HD407" s="459"/>
      <c r="HE407" s="459"/>
      <c r="HF407" s="459"/>
      <c r="HG407" s="459"/>
      <c r="HH407" s="459"/>
      <c r="HI407" s="459"/>
      <c r="HJ407" s="459"/>
      <c r="HK407" s="459"/>
      <c r="HL407" s="459"/>
      <c r="HM407" s="459"/>
      <c r="HN407" s="459"/>
      <c r="HO407" s="459"/>
      <c r="HP407" s="459"/>
      <c r="HQ407" s="459"/>
      <c r="HR407" s="459"/>
      <c r="HS407" s="459"/>
      <c r="HT407" s="459"/>
      <c r="HU407" s="459"/>
      <c r="HV407" s="459"/>
      <c r="HW407" s="459"/>
      <c r="HX407" s="459"/>
      <c r="HY407" s="459"/>
      <c r="HZ407" s="459"/>
      <c r="IA407" s="459"/>
      <c r="IB407" s="459"/>
      <c r="IC407" s="459"/>
      <c r="ID407" s="459"/>
      <c r="IE407" s="10"/>
      <c r="IF407" s="459"/>
      <c r="IG407" s="459"/>
      <c r="IH407" s="459"/>
    </row>
    <row r="408" spans="2:242" s="12" customFormat="1" ht="15" customHeight="1" x14ac:dyDescent="0.25">
      <c r="B408" s="442"/>
      <c r="C408" s="443"/>
      <c r="D408" s="444"/>
      <c r="E408" s="11"/>
      <c r="F408" s="11"/>
      <c r="G408" s="11"/>
      <c r="H408" s="11"/>
      <c r="I408" s="11"/>
      <c r="J408" s="11"/>
      <c r="K408" s="11"/>
      <c r="L408" s="11"/>
      <c r="M408" s="11"/>
      <c r="N408" s="459"/>
      <c r="O408" s="459"/>
      <c r="P408" s="459"/>
      <c r="Q408" s="459"/>
      <c r="R408" s="459"/>
      <c r="S408" s="459"/>
      <c r="T408" s="11"/>
      <c r="U408" s="11"/>
      <c r="V408" s="11"/>
      <c r="W408" s="11"/>
      <c r="X408" s="11"/>
      <c r="Y408" s="11"/>
      <c r="Z408" s="11"/>
      <c r="AA408" s="11"/>
      <c r="AB408" s="11"/>
      <c r="AC408" s="459"/>
      <c r="AD408" s="11"/>
      <c r="AE408" s="11"/>
      <c r="AF408" s="459"/>
      <c r="AG408" s="11"/>
      <c r="AH408" s="11"/>
      <c r="AI408" s="459"/>
      <c r="AJ408" s="459"/>
      <c r="AK408" s="459"/>
      <c r="AL408" s="459"/>
      <c r="AM408" s="459"/>
      <c r="AN408" s="459"/>
      <c r="AO408" s="459"/>
      <c r="AP408" s="459"/>
      <c r="AQ408" s="459"/>
      <c r="AR408" s="459"/>
      <c r="AS408" s="11"/>
      <c r="AT408" s="459"/>
      <c r="AU408" s="459"/>
      <c r="AV408" s="11"/>
      <c r="AW408" s="11"/>
      <c r="AX408" s="11"/>
      <c r="AY408" s="11"/>
      <c r="AZ408" s="459"/>
      <c r="BA408" s="459"/>
      <c r="BB408" s="11"/>
      <c r="BC408" s="11"/>
      <c r="BD408" s="11"/>
      <c r="BE408" s="11"/>
      <c r="BF408" s="11"/>
      <c r="BG408" s="11"/>
      <c r="BH408" s="11"/>
      <c r="BI408" s="459"/>
      <c r="BJ408" s="459"/>
      <c r="BK408" s="459"/>
      <c r="BL408" s="459"/>
      <c r="BM408" s="459"/>
      <c r="BN408" s="459"/>
      <c r="BO408" s="459"/>
      <c r="BP408" s="459"/>
      <c r="BQ408" s="459"/>
      <c r="BR408" s="459"/>
      <c r="BS408" s="459"/>
      <c r="BT408" s="459"/>
      <c r="BU408" s="459"/>
      <c r="BV408" s="11"/>
      <c r="BW408" s="11"/>
      <c r="BX408" s="11"/>
      <c r="BY408" s="11"/>
      <c r="BZ408" s="11"/>
      <c r="CA408" s="11"/>
      <c r="CB408" s="11"/>
      <c r="CC408" s="11"/>
      <c r="CD408" s="11"/>
      <c r="CE408" s="459"/>
      <c r="CF408" s="459"/>
      <c r="CG408" s="459"/>
      <c r="CH408" s="11"/>
      <c r="CI408" s="459"/>
      <c r="CJ408" s="459"/>
      <c r="CK408" s="11"/>
      <c r="CL408" s="11"/>
      <c r="CM408" s="11"/>
      <c r="CN408" s="11"/>
      <c r="CO408" s="11"/>
      <c r="CP408" s="11"/>
      <c r="CQ408" s="11"/>
      <c r="CR408" s="459"/>
      <c r="CS408" s="459"/>
      <c r="CT408" s="11"/>
      <c r="CU408" s="11"/>
      <c r="CV408" s="11"/>
      <c r="CW408" s="11"/>
      <c r="CX408" s="11"/>
      <c r="CY408" s="11"/>
      <c r="CZ408" s="11"/>
      <c r="DA408" s="459"/>
      <c r="DB408" s="459"/>
      <c r="DC408" s="459"/>
      <c r="DD408" s="459"/>
      <c r="DE408" s="459"/>
      <c r="DF408" s="459"/>
      <c r="DG408" s="459"/>
      <c r="DH408" s="459"/>
      <c r="DI408" s="459"/>
      <c r="DJ408" s="459"/>
      <c r="DK408" s="459"/>
      <c r="DL408" s="459"/>
      <c r="DM408" s="459"/>
      <c r="DN408" s="459"/>
      <c r="DO408" s="459"/>
      <c r="DP408" s="459"/>
      <c r="DQ408" s="459"/>
      <c r="DR408" s="459"/>
      <c r="DS408" s="459"/>
      <c r="DT408" s="459"/>
      <c r="DU408" s="459"/>
      <c r="DV408" s="459"/>
      <c r="DW408" s="459"/>
      <c r="DX408" s="11"/>
      <c r="DY408" s="459"/>
      <c r="DZ408" s="459"/>
      <c r="EA408" s="459"/>
      <c r="EB408" s="459"/>
      <c r="EC408" s="459"/>
      <c r="ED408" s="459"/>
      <c r="EE408" s="459"/>
      <c r="EF408" s="459"/>
      <c r="EG408" s="459"/>
      <c r="EH408" s="459"/>
      <c r="EI408" s="459"/>
      <c r="EJ408" s="459"/>
      <c r="EK408" s="459"/>
      <c r="EL408" s="459"/>
      <c r="EM408" s="459"/>
      <c r="EN408" s="459"/>
      <c r="EO408" s="459"/>
      <c r="EP408" s="459"/>
      <c r="EQ408" s="459"/>
      <c r="ER408" s="459"/>
      <c r="ES408" s="459"/>
      <c r="ET408" s="459"/>
      <c r="EU408" s="459"/>
      <c r="EV408" s="459"/>
      <c r="EW408" s="459"/>
      <c r="EX408" s="459"/>
      <c r="EY408" s="459"/>
      <c r="EZ408" s="459"/>
      <c r="FA408" s="459"/>
      <c r="FB408" s="459"/>
      <c r="FC408" s="459"/>
      <c r="FD408" s="459"/>
      <c r="FE408" s="459"/>
      <c r="FF408" s="459"/>
      <c r="FG408" s="459"/>
      <c r="FH408" s="459"/>
      <c r="FI408" s="459"/>
      <c r="FJ408" s="459"/>
      <c r="FK408" s="459"/>
      <c r="FL408" s="459"/>
      <c r="FM408" s="459"/>
      <c r="FN408" s="459"/>
      <c r="FO408" s="459"/>
      <c r="FP408" s="459"/>
      <c r="FQ408" s="459"/>
      <c r="FR408" s="459"/>
      <c r="FS408" s="459"/>
      <c r="FT408" s="459"/>
      <c r="FU408" s="459"/>
      <c r="FV408" s="459"/>
      <c r="FW408" s="459"/>
      <c r="FX408" s="459"/>
      <c r="FY408" s="459"/>
      <c r="FZ408" s="459"/>
      <c r="GA408" s="459"/>
      <c r="GB408" s="459"/>
      <c r="GC408" s="459"/>
      <c r="GD408" s="459"/>
      <c r="GE408" s="459"/>
      <c r="GF408" s="459"/>
      <c r="GG408" s="459"/>
      <c r="GH408" s="459"/>
      <c r="GI408" s="459"/>
      <c r="GJ408" s="459"/>
      <c r="GK408" s="459"/>
      <c r="GL408" s="459"/>
      <c r="GM408" s="459"/>
      <c r="GN408" s="459"/>
      <c r="GO408" s="459"/>
      <c r="GP408" s="459"/>
      <c r="GQ408" s="459"/>
      <c r="GR408" s="459"/>
      <c r="GS408" s="459"/>
      <c r="GT408" s="459"/>
      <c r="GU408" s="459"/>
      <c r="GV408" s="459"/>
      <c r="GW408" s="459"/>
      <c r="GX408" s="459"/>
      <c r="GY408" s="459"/>
      <c r="GZ408" s="459"/>
      <c r="HA408" s="459"/>
      <c r="HB408" s="459"/>
      <c r="HC408" s="459"/>
      <c r="HD408" s="459"/>
      <c r="HE408" s="459"/>
      <c r="HF408" s="459"/>
      <c r="HG408" s="459"/>
      <c r="HH408" s="459"/>
      <c r="HI408" s="459"/>
      <c r="HJ408" s="459"/>
      <c r="HK408" s="459"/>
      <c r="HL408" s="459"/>
      <c r="HM408" s="459"/>
      <c r="HN408" s="459"/>
      <c r="HO408" s="459"/>
      <c r="HP408" s="459"/>
      <c r="HQ408" s="459"/>
      <c r="HR408" s="459"/>
      <c r="HS408" s="459"/>
      <c r="HT408" s="459"/>
      <c r="HU408" s="459"/>
      <c r="HV408" s="459"/>
      <c r="HW408" s="459"/>
      <c r="HX408" s="459"/>
      <c r="HY408" s="459"/>
      <c r="HZ408" s="459"/>
      <c r="IA408" s="459"/>
      <c r="IB408" s="459"/>
      <c r="IC408" s="459"/>
      <c r="ID408" s="459"/>
      <c r="IE408" s="10"/>
      <c r="IF408" s="459"/>
      <c r="IG408" s="459"/>
      <c r="IH408" s="459"/>
    </row>
    <row r="409" spans="2:242" s="12" customFormat="1" ht="15" customHeight="1" x14ac:dyDescent="0.25">
      <c r="B409" s="442"/>
      <c r="C409" s="443"/>
      <c r="D409" s="444"/>
      <c r="E409" s="11"/>
      <c r="F409" s="11"/>
      <c r="G409" s="11"/>
      <c r="H409" s="11"/>
      <c r="I409" s="11"/>
      <c r="J409" s="11"/>
      <c r="K409" s="11"/>
      <c r="L409" s="11"/>
      <c r="M409" s="11"/>
      <c r="N409" s="459"/>
      <c r="O409" s="459"/>
      <c r="P409" s="459"/>
      <c r="Q409" s="459"/>
      <c r="R409" s="459"/>
      <c r="S409" s="459"/>
      <c r="T409" s="11"/>
      <c r="U409" s="11"/>
      <c r="V409" s="11"/>
      <c r="W409" s="11"/>
      <c r="X409" s="11"/>
      <c r="Y409" s="11"/>
      <c r="Z409" s="11"/>
      <c r="AA409" s="11"/>
      <c r="AB409" s="11"/>
      <c r="AC409" s="459"/>
      <c r="AD409" s="11"/>
      <c r="AE409" s="11"/>
      <c r="AF409" s="459"/>
      <c r="AG409" s="11"/>
      <c r="AH409" s="11"/>
      <c r="AI409" s="459"/>
      <c r="AJ409" s="459"/>
      <c r="AK409" s="459"/>
      <c r="AL409" s="459"/>
      <c r="AM409" s="459"/>
      <c r="AN409" s="459"/>
      <c r="AO409" s="459"/>
      <c r="AP409" s="459"/>
      <c r="AQ409" s="459"/>
      <c r="AR409" s="459"/>
      <c r="AS409" s="11"/>
      <c r="AT409" s="459"/>
      <c r="AU409" s="459"/>
      <c r="AV409" s="11"/>
      <c r="AW409" s="11"/>
      <c r="AX409" s="11"/>
      <c r="AY409" s="11"/>
      <c r="AZ409" s="459"/>
      <c r="BA409" s="459"/>
      <c r="BB409" s="11"/>
      <c r="BC409" s="11"/>
      <c r="BD409" s="11"/>
      <c r="BE409" s="11"/>
      <c r="BF409" s="11"/>
      <c r="BG409" s="11"/>
      <c r="BH409" s="11"/>
      <c r="BI409" s="459"/>
      <c r="BJ409" s="459"/>
      <c r="BK409" s="459"/>
      <c r="BL409" s="459"/>
      <c r="BM409" s="459"/>
      <c r="BN409" s="459"/>
      <c r="BO409" s="459"/>
      <c r="BP409" s="459"/>
      <c r="BQ409" s="459"/>
      <c r="BR409" s="459"/>
      <c r="BS409" s="459"/>
      <c r="BT409" s="459"/>
      <c r="BU409" s="459"/>
      <c r="BV409" s="11"/>
      <c r="BW409" s="11"/>
      <c r="BX409" s="11"/>
      <c r="BY409" s="11"/>
      <c r="BZ409" s="11"/>
      <c r="CA409" s="11"/>
      <c r="CB409" s="11"/>
      <c r="CC409" s="11"/>
      <c r="CD409" s="11"/>
      <c r="CE409" s="459"/>
      <c r="CF409" s="459"/>
      <c r="CG409" s="459"/>
      <c r="CH409" s="11"/>
      <c r="CI409" s="459"/>
      <c r="CJ409" s="459"/>
      <c r="CK409" s="11"/>
      <c r="CL409" s="11"/>
      <c r="CM409" s="11"/>
      <c r="CN409" s="11"/>
      <c r="CO409" s="11"/>
      <c r="CP409" s="11"/>
      <c r="CQ409" s="11"/>
      <c r="CR409" s="459"/>
      <c r="CS409" s="459"/>
      <c r="CT409" s="11"/>
      <c r="CU409" s="11"/>
      <c r="CV409" s="11"/>
      <c r="CW409" s="11"/>
      <c r="CX409" s="11"/>
      <c r="CY409" s="11"/>
      <c r="CZ409" s="11"/>
      <c r="DA409" s="459"/>
      <c r="DB409" s="459"/>
      <c r="DC409" s="459"/>
      <c r="DD409" s="459"/>
      <c r="DE409" s="459"/>
      <c r="DF409" s="459"/>
      <c r="DG409" s="459"/>
      <c r="DH409" s="459"/>
      <c r="DI409" s="459"/>
      <c r="DJ409" s="459"/>
      <c r="DK409" s="459"/>
      <c r="DL409" s="459"/>
      <c r="DM409" s="459"/>
      <c r="DN409" s="459"/>
      <c r="DO409" s="459"/>
      <c r="DP409" s="459"/>
      <c r="DQ409" s="459"/>
      <c r="DR409" s="459"/>
      <c r="DS409" s="459"/>
      <c r="DT409" s="459"/>
      <c r="DU409" s="459"/>
      <c r="DV409" s="459"/>
      <c r="DW409" s="459"/>
      <c r="DX409" s="11"/>
      <c r="DY409" s="459"/>
      <c r="DZ409" s="459"/>
      <c r="EA409" s="459"/>
      <c r="EB409" s="459"/>
      <c r="EC409" s="459"/>
      <c r="ED409" s="459"/>
      <c r="EE409" s="459"/>
      <c r="EF409" s="459"/>
      <c r="EG409" s="459"/>
      <c r="EH409" s="459"/>
      <c r="EI409" s="459"/>
      <c r="EJ409" s="459"/>
      <c r="EK409" s="459"/>
      <c r="EL409" s="459"/>
      <c r="EM409" s="459"/>
      <c r="EN409" s="459"/>
      <c r="EO409" s="459"/>
      <c r="EP409" s="459"/>
      <c r="EQ409" s="459"/>
      <c r="ER409" s="459"/>
      <c r="ES409" s="459"/>
      <c r="ET409" s="459"/>
      <c r="EU409" s="459"/>
      <c r="EV409" s="459"/>
      <c r="EW409" s="459"/>
      <c r="EX409" s="459"/>
      <c r="EY409" s="459"/>
      <c r="EZ409" s="459"/>
      <c r="FA409" s="459"/>
      <c r="FB409" s="459"/>
      <c r="FC409" s="459"/>
      <c r="FD409" s="459"/>
      <c r="FE409" s="459"/>
      <c r="FF409" s="459"/>
      <c r="FG409" s="459"/>
      <c r="FH409" s="459"/>
      <c r="FI409" s="459"/>
      <c r="FJ409" s="459"/>
      <c r="FK409" s="459"/>
      <c r="FL409" s="459"/>
      <c r="FM409" s="459"/>
      <c r="FN409" s="459"/>
      <c r="FO409" s="459"/>
      <c r="FP409" s="459"/>
      <c r="FQ409" s="459"/>
      <c r="FR409" s="459"/>
      <c r="FS409" s="459"/>
      <c r="FT409" s="459"/>
      <c r="FU409" s="459"/>
      <c r="FV409" s="459"/>
      <c r="FW409" s="459"/>
      <c r="FX409" s="459"/>
      <c r="FY409" s="459"/>
      <c r="FZ409" s="459"/>
      <c r="GA409" s="459"/>
      <c r="GB409" s="459"/>
      <c r="GC409" s="459"/>
      <c r="GD409" s="459"/>
      <c r="GE409" s="459"/>
      <c r="GF409" s="459"/>
      <c r="GG409" s="459"/>
      <c r="GH409" s="459"/>
      <c r="GI409" s="459"/>
      <c r="GJ409" s="459"/>
      <c r="GK409" s="459"/>
      <c r="GL409" s="459"/>
      <c r="GM409" s="459"/>
      <c r="GN409" s="459"/>
      <c r="GO409" s="459"/>
      <c r="GP409" s="459"/>
      <c r="GQ409" s="459"/>
      <c r="GR409" s="459"/>
      <c r="GS409" s="459"/>
      <c r="GT409" s="459"/>
      <c r="GU409" s="459"/>
      <c r="GV409" s="459"/>
      <c r="GW409" s="459"/>
      <c r="GX409" s="459"/>
      <c r="GY409" s="459"/>
      <c r="GZ409" s="459"/>
      <c r="HA409" s="459"/>
      <c r="HB409" s="459"/>
      <c r="HC409" s="459"/>
      <c r="HD409" s="459"/>
      <c r="HE409" s="459"/>
      <c r="HF409" s="459"/>
      <c r="HG409" s="459"/>
      <c r="HH409" s="459"/>
      <c r="HI409" s="459"/>
      <c r="HJ409" s="459"/>
      <c r="HK409" s="459"/>
      <c r="HL409" s="459"/>
      <c r="HM409" s="459"/>
      <c r="HN409" s="459"/>
      <c r="HO409" s="459"/>
      <c r="HP409" s="459"/>
      <c r="HQ409" s="459"/>
      <c r="HR409" s="459"/>
      <c r="HS409" s="459"/>
      <c r="HT409" s="459"/>
      <c r="HU409" s="459"/>
      <c r="HV409" s="459"/>
      <c r="HW409" s="459"/>
      <c r="HX409" s="459"/>
      <c r="HY409" s="459"/>
      <c r="HZ409" s="459"/>
      <c r="IA409" s="459"/>
      <c r="IB409" s="459"/>
      <c r="IC409" s="459"/>
      <c r="ID409" s="459"/>
      <c r="IE409" s="10"/>
      <c r="IF409" s="459"/>
      <c r="IG409" s="459"/>
      <c r="IH409" s="459"/>
    </row>
    <row r="410" spans="2:242" s="12" customFormat="1" ht="15" customHeight="1" x14ac:dyDescent="0.25">
      <c r="B410" s="442"/>
      <c r="C410" s="443"/>
      <c r="D410" s="444"/>
      <c r="E410" s="11"/>
      <c r="F410" s="11"/>
      <c r="G410" s="11"/>
      <c r="H410" s="11"/>
      <c r="I410" s="11"/>
      <c r="J410" s="11"/>
      <c r="K410" s="11"/>
      <c r="L410" s="11"/>
      <c r="M410" s="11"/>
      <c r="N410" s="459"/>
      <c r="O410" s="459"/>
      <c r="P410" s="459"/>
      <c r="Q410" s="459"/>
      <c r="R410" s="459"/>
      <c r="S410" s="459"/>
      <c r="T410" s="11"/>
      <c r="U410" s="11"/>
      <c r="V410" s="11"/>
      <c r="W410" s="11"/>
      <c r="X410" s="11"/>
      <c r="Y410" s="11"/>
      <c r="Z410" s="11"/>
      <c r="AA410" s="11"/>
      <c r="AB410" s="11"/>
      <c r="AC410" s="459"/>
      <c r="AD410" s="11"/>
      <c r="AE410" s="11"/>
      <c r="AF410" s="459"/>
      <c r="AG410" s="11"/>
      <c r="AH410" s="11"/>
      <c r="AI410" s="459"/>
      <c r="AJ410" s="459"/>
      <c r="AK410" s="459"/>
      <c r="AL410" s="459"/>
      <c r="AM410" s="459"/>
      <c r="AN410" s="459"/>
      <c r="AO410" s="459"/>
      <c r="AP410" s="459"/>
      <c r="AQ410" s="459"/>
      <c r="AR410" s="459"/>
      <c r="AS410" s="11"/>
      <c r="AT410" s="459"/>
      <c r="AU410" s="459"/>
      <c r="AV410" s="11"/>
      <c r="AW410" s="11"/>
      <c r="AX410" s="11"/>
      <c r="AY410" s="11"/>
      <c r="AZ410" s="459"/>
      <c r="BA410" s="459"/>
      <c r="BB410" s="11"/>
      <c r="BC410" s="11"/>
      <c r="BD410" s="11"/>
      <c r="BE410" s="11"/>
      <c r="BF410" s="11"/>
      <c r="BG410" s="11"/>
      <c r="BH410" s="11"/>
      <c r="BI410" s="459"/>
      <c r="BJ410" s="459"/>
      <c r="BK410" s="459"/>
      <c r="BL410" s="459"/>
      <c r="BM410" s="459"/>
      <c r="BN410" s="459"/>
      <c r="BO410" s="459"/>
      <c r="BP410" s="459"/>
      <c r="BQ410" s="459"/>
      <c r="BR410" s="459"/>
      <c r="BS410" s="459"/>
      <c r="BT410" s="459"/>
      <c r="BU410" s="459"/>
      <c r="BV410" s="11"/>
      <c r="BW410" s="11"/>
      <c r="BX410" s="11"/>
      <c r="BY410" s="11"/>
      <c r="BZ410" s="11"/>
      <c r="CA410" s="11"/>
      <c r="CB410" s="11"/>
      <c r="CC410" s="11"/>
      <c r="CD410" s="11"/>
      <c r="CE410" s="459"/>
      <c r="CF410" s="459"/>
      <c r="CG410" s="444"/>
      <c r="CH410" s="11"/>
      <c r="CI410" s="459"/>
      <c r="CJ410" s="459"/>
      <c r="CK410" s="11"/>
      <c r="CL410" s="11"/>
      <c r="CM410" s="11"/>
      <c r="CN410" s="11"/>
      <c r="CO410" s="11"/>
      <c r="CP410" s="11"/>
      <c r="CQ410" s="11"/>
      <c r="CR410" s="459"/>
      <c r="CS410" s="459"/>
      <c r="CT410" s="11"/>
      <c r="CU410" s="11"/>
      <c r="CV410" s="11"/>
      <c r="CW410" s="11"/>
      <c r="CX410" s="11"/>
      <c r="CY410" s="11"/>
      <c r="CZ410" s="11"/>
      <c r="DA410" s="459"/>
      <c r="DB410" s="459"/>
      <c r="DC410" s="459"/>
      <c r="DD410" s="459"/>
      <c r="DE410" s="459"/>
      <c r="DF410" s="459"/>
      <c r="DG410" s="459"/>
      <c r="DH410" s="459"/>
      <c r="DI410" s="459"/>
      <c r="DJ410" s="459"/>
      <c r="DK410" s="459"/>
      <c r="DL410" s="459"/>
      <c r="DM410" s="459"/>
      <c r="DN410" s="459"/>
      <c r="DO410" s="459"/>
      <c r="DP410" s="459"/>
      <c r="DQ410" s="459"/>
      <c r="DR410" s="459"/>
      <c r="DS410" s="459"/>
      <c r="DT410" s="459"/>
      <c r="DU410" s="459"/>
      <c r="DV410" s="459"/>
      <c r="DW410" s="459"/>
      <c r="DX410" s="11"/>
      <c r="DY410" s="459"/>
      <c r="DZ410" s="459"/>
      <c r="EA410" s="459"/>
      <c r="EB410" s="459"/>
      <c r="EC410" s="459"/>
      <c r="ED410" s="459"/>
      <c r="EE410" s="459"/>
      <c r="EF410" s="459"/>
      <c r="EG410" s="459"/>
      <c r="EH410" s="459"/>
      <c r="EI410" s="459"/>
      <c r="EJ410" s="459"/>
      <c r="EK410" s="459"/>
      <c r="EL410" s="459"/>
      <c r="EM410" s="459"/>
      <c r="EN410" s="459"/>
      <c r="EO410" s="459"/>
      <c r="EP410" s="459"/>
      <c r="EQ410" s="459"/>
      <c r="ER410" s="459"/>
      <c r="ES410" s="459"/>
      <c r="ET410" s="459"/>
      <c r="EU410" s="459"/>
      <c r="EV410" s="459"/>
      <c r="EW410" s="459"/>
      <c r="EX410" s="459"/>
      <c r="EY410" s="459"/>
      <c r="EZ410" s="459"/>
      <c r="FA410" s="459"/>
      <c r="FB410" s="459"/>
      <c r="FC410" s="459"/>
      <c r="FD410" s="459"/>
      <c r="FE410" s="459"/>
      <c r="FF410" s="459"/>
      <c r="FG410" s="459"/>
      <c r="FH410" s="459"/>
      <c r="FI410" s="459"/>
      <c r="FJ410" s="459"/>
      <c r="FK410" s="459"/>
      <c r="FL410" s="459"/>
      <c r="FM410" s="459"/>
      <c r="FN410" s="459"/>
      <c r="FO410" s="459"/>
      <c r="FP410" s="459"/>
      <c r="FQ410" s="459"/>
      <c r="FR410" s="459"/>
      <c r="FS410" s="459"/>
      <c r="FT410" s="459"/>
      <c r="FU410" s="459"/>
      <c r="FV410" s="459"/>
      <c r="FW410" s="459"/>
      <c r="FX410" s="459"/>
      <c r="FY410" s="459"/>
      <c r="FZ410" s="459"/>
      <c r="GA410" s="459"/>
      <c r="GB410" s="459"/>
      <c r="GC410" s="459"/>
      <c r="GD410" s="459"/>
      <c r="GE410" s="459"/>
      <c r="GF410" s="459"/>
      <c r="GG410" s="459"/>
      <c r="GH410" s="459"/>
      <c r="GI410" s="459"/>
      <c r="GJ410" s="459"/>
      <c r="GK410" s="459"/>
      <c r="GL410" s="459"/>
      <c r="GM410" s="459"/>
      <c r="GN410" s="459"/>
      <c r="GO410" s="459"/>
      <c r="GP410" s="459"/>
      <c r="GQ410" s="459"/>
      <c r="GR410" s="459"/>
      <c r="GS410" s="459"/>
      <c r="GT410" s="459"/>
      <c r="GU410" s="459"/>
      <c r="GV410" s="459"/>
      <c r="GW410" s="459"/>
      <c r="GX410" s="459"/>
      <c r="GY410" s="459"/>
      <c r="GZ410" s="459"/>
      <c r="HA410" s="459"/>
      <c r="HB410" s="459"/>
      <c r="HC410" s="459"/>
      <c r="HD410" s="459"/>
      <c r="HE410" s="459"/>
      <c r="HF410" s="459"/>
      <c r="HG410" s="459"/>
      <c r="HH410" s="459"/>
      <c r="HI410" s="459"/>
      <c r="HJ410" s="459"/>
      <c r="HK410" s="459"/>
      <c r="HL410" s="459"/>
      <c r="HM410" s="459"/>
      <c r="HN410" s="459"/>
      <c r="HO410" s="459"/>
      <c r="HP410" s="459"/>
      <c r="HQ410" s="459"/>
      <c r="HR410" s="459"/>
      <c r="HS410" s="459"/>
      <c r="HT410" s="459"/>
      <c r="HU410" s="459"/>
      <c r="HV410" s="459"/>
      <c r="HW410" s="459"/>
      <c r="HX410" s="459"/>
      <c r="HY410" s="459"/>
      <c r="HZ410" s="459"/>
      <c r="IA410" s="459"/>
      <c r="IB410" s="459"/>
      <c r="IC410" s="459"/>
      <c r="ID410" s="459"/>
      <c r="IE410" s="465"/>
      <c r="IF410" s="444"/>
      <c r="IG410" s="444"/>
      <c r="IH410" s="444"/>
    </row>
    <row r="411" spans="2:242" s="12" customFormat="1" ht="15" customHeight="1" x14ac:dyDescent="0.25">
      <c r="B411" s="442"/>
      <c r="C411" s="443"/>
      <c r="D411" s="444"/>
      <c r="E411" s="11"/>
      <c r="F411" s="11"/>
      <c r="G411" s="11"/>
      <c r="H411" s="11"/>
      <c r="I411" s="11"/>
      <c r="J411" s="11"/>
      <c r="K411" s="11"/>
      <c r="L411" s="11"/>
      <c r="M411" s="11"/>
      <c r="N411" s="459"/>
      <c r="O411" s="459"/>
      <c r="P411" s="459"/>
      <c r="Q411" s="459"/>
      <c r="R411" s="459"/>
      <c r="S411" s="459"/>
      <c r="T411" s="11"/>
      <c r="U411" s="11"/>
      <c r="V411" s="11"/>
      <c r="W411" s="11"/>
      <c r="X411" s="11"/>
      <c r="Y411" s="11"/>
      <c r="Z411" s="11"/>
      <c r="AA411" s="11"/>
      <c r="AB411" s="11"/>
      <c r="AC411" s="459"/>
      <c r="AD411" s="11"/>
      <c r="AE411" s="11"/>
      <c r="AF411" s="459"/>
      <c r="AG411" s="11"/>
      <c r="AH411" s="11"/>
      <c r="AI411" s="459"/>
      <c r="AJ411" s="459"/>
      <c r="AK411" s="459"/>
      <c r="AL411" s="459"/>
      <c r="AM411" s="459"/>
      <c r="AN411" s="459"/>
      <c r="AO411" s="459"/>
      <c r="AP411" s="459"/>
      <c r="AQ411" s="459"/>
      <c r="AR411" s="459"/>
      <c r="AS411" s="11"/>
      <c r="AT411" s="459"/>
      <c r="AU411" s="459"/>
      <c r="AV411" s="11"/>
      <c r="AW411" s="11"/>
      <c r="AX411" s="11"/>
      <c r="AY411" s="11"/>
      <c r="AZ411" s="459"/>
      <c r="BA411" s="459"/>
      <c r="BB411" s="11"/>
      <c r="BC411" s="11"/>
      <c r="BD411" s="11"/>
      <c r="BE411" s="11"/>
      <c r="BF411" s="11"/>
      <c r="BG411" s="11"/>
      <c r="BH411" s="11"/>
      <c r="BI411" s="459"/>
      <c r="BJ411" s="459"/>
      <c r="BK411" s="459"/>
      <c r="BL411" s="459"/>
      <c r="BM411" s="459"/>
      <c r="BN411" s="459"/>
      <c r="BO411" s="459"/>
      <c r="BP411" s="459"/>
      <c r="BQ411" s="459"/>
      <c r="BR411" s="459"/>
      <c r="BS411" s="459"/>
      <c r="BT411" s="459"/>
      <c r="BU411" s="459"/>
      <c r="BV411" s="11"/>
      <c r="BW411" s="11"/>
      <c r="BX411" s="11"/>
      <c r="BY411" s="11"/>
      <c r="BZ411" s="11"/>
      <c r="CA411" s="11"/>
      <c r="CB411" s="11"/>
      <c r="CC411" s="11"/>
      <c r="CD411" s="11"/>
      <c r="CE411" s="459"/>
      <c r="CF411" s="459"/>
      <c r="CG411" s="11"/>
      <c r="CH411" s="11"/>
      <c r="CI411" s="459"/>
      <c r="CJ411" s="459"/>
      <c r="CK411" s="11"/>
      <c r="CL411" s="11"/>
      <c r="CM411" s="11"/>
      <c r="CN411" s="11"/>
      <c r="CO411" s="11"/>
      <c r="CP411" s="11"/>
      <c r="CQ411" s="11"/>
      <c r="CR411" s="459"/>
      <c r="CS411" s="459"/>
      <c r="CT411" s="11"/>
      <c r="CU411" s="11"/>
      <c r="CV411" s="11"/>
      <c r="CW411" s="11"/>
      <c r="CX411" s="11"/>
      <c r="CY411" s="11"/>
      <c r="CZ411" s="11"/>
      <c r="DA411" s="459"/>
      <c r="DB411" s="459"/>
      <c r="DC411" s="459"/>
      <c r="DD411" s="459"/>
      <c r="DE411" s="459"/>
      <c r="DF411" s="459"/>
      <c r="DG411" s="459"/>
      <c r="DH411" s="459"/>
      <c r="DI411" s="459"/>
      <c r="DJ411" s="459"/>
      <c r="DK411" s="459"/>
      <c r="DL411" s="459"/>
      <c r="DM411" s="459"/>
      <c r="DN411" s="459"/>
      <c r="DO411" s="459"/>
      <c r="DP411" s="459"/>
      <c r="DQ411" s="459"/>
      <c r="DR411" s="459"/>
      <c r="DS411" s="459"/>
      <c r="DT411" s="459"/>
      <c r="DU411" s="459"/>
      <c r="DV411" s="459"/>
      <c r="DW411" s="459"/>
      <c r="DX411" s="11"/>
      <c r="DY411" s="459"/>
      <c r="DZ411" s="459"/>
      <c r="EA411" s="459"/>
      <c r="EB411" s="459"/>
      <c r="EC411" s="459"/>
      <c r="ED411" s="459"/>
      <c r="EE411" s="459"/>
      <c r="EF411" s="459"/>
      <c r="EG411" s="459"/>
      <c r="EH411" s="459"/>
      <c r="EI411" s="459"/>
      <c r="EJ411" s="459"/>
      <c r="EK411" s="459"/>
      <c r="EL411" s="459"/>
      <c r="EM411" s="459"/>
      <c r="EN411" s="459"/>
      <c r="EO411" s="459"/>
      <c r="EP411" s="459"/>
      <c r="EQ411" s="459"/>
      <c r="ER411" s="459"/>
      <c r="ES411" s="459"/>
      <c r="ET411" s="459"/>
      <c r="EU411" s="459"/>
      <c r="EV411" s="459"/>
      <c r="EW411" s="459"/>
      <c r="EX411" s="459"/>
      <c r="EY411" s="459"/>
      <c r="EZ411" s="459"/>
      <c r="FA411" s="459"/>
      <c r="FB411" s="459"/>
      <c r="FC411" s="459"/>
      <c r="FD411" s="459"/>
      <c r="FE411" s="459"/>
      <c r="FF411" s="459"/>
      <c r="FG411" s="459"/>
      <c r="FH411" s="459"/>
      <c r="FI411" s="459"/>
      <c r="FJ411" s="459"/>
      <c r="FK411" s="459"/>
      <c r="FL411" s="459"/>
      <c r="FM411" s="459"/>
      <c r="FN411" s="459"/>
      <c r="FO411" s="459"/>
      <c r="FP411" s="459"/>
      <c r="FQ411" s="459"/>
      <c r="FR411" s="459"/>
      <c r="FS411" s="459"/>
      <c r="FT411" s="459"/>
      <c r="FU411" s="459"/>
      <c r="FV411" s="459"/>
      <c r="FW411" s="459"/>
      <c r="FX411" s="459"/>
      <c r="FY411" s="459"/>
      <c r="FZ411" s="459"/>
      <c r="GA411" s="459"/>
      <c r="GB411" s="459"/>
      <c r="GC411" s="459"/>
      <c r="GD411" s="459"/>
      <c r="GE411" s="459"/>
      <c r="GF411" s="459"/>
      <c r="GG411" s="459"/>
      <c r="GH411" s="459"/>
      <c r="GI411" s="459"/>
      <c r="GJ411" s="459"/>
      <c r="GK411" s="459"/>
      <c r="GL411" s="459"/>
      <c r="GM411" s="459"/>
      <c r="GN411" s="459"/>
      <c r="GO411" s="459"/>
      <c r="GP411" s="459"/>
      <c r="GQ411" s="459"/>
      <c r="GR411" s="459"/>
      <c r="GS411" s="459"/>
      <c r="GT411" s="459"/>
      <c r="GU411" s="459"/>
      <c r="GV411" s="459"/>
      <c r="GW411" s="459"/>
      <c r="GX411" s="459"/>
      <c r="GY411" s="459"/>
      <c r="GZ411" s="459"/>
      <c r="HA411" s="459"/>
      <c r="HB411" s="459"/>
      <c r="HC411" s="459"/>
      <c r="HD411" s="459"/>
      <c r="HE411" s="459"/>
      <c r="HF411" s="459"/>
      <c r="HG411" s="459"/>
      <c r="HH411" s="459"/>
      <c r="HI411" s="459"/>
      <c r="HJ411" s="459"/>
      <c r="HK411" s="459"/>
      <c r="HL411" s="459"/>
      <c r="HM411" s="459"/>
      <c r="HN411" s="459"/>
      <c r="HO411" s="459"/>
      <c r="HP411" s="459"/>
      <c r="HQ411" s="459"/>
      <c r="HR411" s="459"/>
      <c r="HS411" s="459"/>
      <c r="HT411" s="459"/>
      <c r="HU411" s="459"/>
      <c r="HV411" s="459"/>
      <c r="HW411" s="459"/>
      <c r="HX411" s="459"/>
      <c r="HY411" s="459"/>
      <c r="HZ411" s="459"/>
      <c r="IA411" s="459"/>
      <c r="IB411" s="459"/>
      <c r="IC411" s="459"/>
      <c r="ID411" s="459"/>
      <c r="IE411" s="10"/>
      <c r="IF411" s="11"/>
      <c r="IG411" s="11"/>
      <c r="IH411" s="11"/>
    </row>
    <row r="412" spans="2:242" s="12" customFormat="1" ht="15" customHeight="1" x14ac:dyDescent="0.25">
      <c r="B412" s="442"/>
      <c r="C412" s="443"/>
      <c r="D412" s="444"/>
      <c r="E412" s="11"/>
      <c r="F412" s="11"/>
      <c r="G412" s="11"/>
      <c r="H412" s="11"/>
      <c r="I412" s="11"/>
      <c r="J412" s="11"/>
      <c r="K412" s="11"/>
      <c r="L412" s="11"/>
      <c r="M412" s="11"/>
      <c r="N412" s="459"/>
      <c r="O412" s="459"/>
      <c r="P412" s="459"/>
      <c r="Q412" s="459"/>
      <c r="R412" s="459"/>
      <c r="S412" s="459"/>
      <c r="T412" s="11"/>
      <c r="U412" s="11"/>
      <c r="V412" s="11"/>
      <c r="W412" s="11"/>
      <c r="X412" s="11"/>
      <c r="Y412" s="11"/>
      <c r="Z412" s="11"/>
      <c r="AA412" s="11"/>
      <c r="AB412" s="11"/>
      <c r="AC412" s="459"/>
      <c r="AD412" s="11"/>
      <c r="AE412" s="11"/>
      <c r="AF412" s="459"/>
      <c r="AG412" s="11"/>
      <c r="AH412" s="11"/>
      <c r="AI412" s="459"/>
      <c r="AJ412" s="459"/>
      <c r="AK412" s="459"/>
      <c r="AL412" s="459"/>
      <c r="AM412" s="459"/>
      <c r="AN412" s="459"/>
      <c r="AO412" s="459"/>
      <c r="AP412" s="459"/>
      <c r="AQ412" s="459"/>
      <c r="AR412" s="459"/>
      <c r="AS412" s="11"/>
      <c r="AT412" s="459"/>
      <c r="AU412" s="459"/>
      <c r="AV412" s="11"/>
      <c r="AW412" s="11"/>
      <c r="AX412" s="11"/>
      <c r="AY412" s="11"/>
      <c r="AZ412" s="459"/>
      <c r="BA412" s="459"/>
      <c r="BB412" s="11"/>
      <c r="BC412" s="11"/>
      <c r="BD412" s="11"/>
      <c r="BE412" s="11"/>
      <c r="BF412" s="11"/>
      <c r="BG412" s="11"/>
      <c r="BH412" s="11"/>
      <c r="BI412" s="459"/>
      <c r="BJ412" s="459"/>
      <c r="BK412" s="459"/>
      <c r="BL412" s="459"/>
      <c r="BM412" s="459"/>
      <c r="BN412" s="459"/>
      <c r="BO412" s="459"/>
      <c r="BP412" s="459"/>
      <c r="BQ412" s="459"/>
      <c r="BR412" s="459"/>
      <c r="BS412" s="459"/>
      <c r="BT412" s="459"/>
      <c r="BU412" s="459"/>
      <c r="BV412" s="11"/>
      <c r="BW412" s="11"/>
      <c r="BX412" s="11"/>
      <c r="BY412" s="11"/>
      <c r="BZ412" s="11"/>
      <c r="CA412" s="11"/>
      <c r="CB412" s="11"/>
      <c r="CC412" s="11"/>
      <c r="CD412" s="11"/>
      <c r="CE412" s="459"/>
      <c r="CF412" s="459"/>
      <c r="CG412" s="11"/>
      <c r="CH412" s="11"/>
      <c r="CI412" s="459"/>
      <c r="CJ412" s="459"/>
      <c r="CK412" s="11"/>
      <c r="CL412" s="11"/>
      <c r="CM412" s="11"/>
      <c r="CN412" s="11"/>
      <c r="CO412" s="11"/>
      <c r="CP412" s="11"/>
      <c r="CQ412" s="11"/>
      <c r="CR412" s="459"/>
      <c r="CS412" s="459"/>
      <c r="CT412" s="11"/>
      <c r="CU412" s="11"/>
      <c r="CV412" s="11"/>
      <c r="CW412" s="11"/>
      <c r="CX412" s="11"/>
      <c r="CY412" s="11"/>
      <c r="CZ412" s="11"/>
      <c r="DA412" s="459"/>
      <c r="DB412" s="459"/>
      <c r="DC412" s="459"/>
      <c r="DD412" s="459"/>
      <c r="DE412" s="459"/>
      <c r="DF412" s="459"/>
      <c r="DG412" s="459"/>
      <c r="DH412" s="459"/>
      <c r="DI412" s="459"/>
      <c r="DJ412" s="459"/>
      <c r="DK412" s="459"/>
      <c r="DL412" s="459"/>
      <c r="DM412" s="459"/>
      <c r="DN412" s="459"/>
      <c r="DO412" s="459"/>
      <c r="DP412" s="459"/>
      <c r="DQ412" s="459"/>
      <c r="DR412" s="459"/>
      <c r="DS412" s="459"/>
      <c r="DT412" s="459"/>
      <c r="DU412" s="459"/>
      <c r="DV412" s="459"/>
      <c r="DW412" s="459"/>
      <c r="DX412" s="11"/>
      <c r="DY412" s="459"/>
      <c r="DZ412" s="459"/>
      <c r="EA412" s="459"/>
      <c r="EB412" s="459"/>
      <c r="EC412" s="459"/>
      <c r="ED412" s="459"/>
      <c r="EE412" s="459"/>
      <c r="EF412" s="459"/>
      <c r="EG412" s="459"/>
      <c r="EH412" s="459"/>
      <c r="EI412" s="459"/>
      <c r="EJ412" s="459"/>
      <c r="EK412" s="459"/>
      <c r="EL412" s="459"/>
      <c r="EM412" s="459"/>
      <c r="EN412" s="459"/>
      <c r="EO412" s="459"/>
      <c r="EP412" s="459"/>
      <c r="EQ412" s="459"/>
      <c r="ER412" s="459"/>
      <c r="ES412" s="459"/>
      <c r="ET412" s="459"/>
      <c r="EU412" s="459"/>
      <c r="EV412" s="459"/>
      <c r="EW412" s="459"/>
      <c r="EX412" s="459"/>
      <c r="EY412" s="459"/>
      <c r="EZ412" s="459"/>
      <c r="FA412" s="459"/>
      <c r="FB412" s="459"/>
      <c r="FC412" s="459"/>
      <c r="FD412" s="459"/>
      <c r="FE412" s="459"/>
      <c r="FF412" s="459"/>
      <c r="FG412" s="459"/>
      <c r="FH412" s="459"/>
      <c r="FI412" s="459"/>
      <c r="FJ412" s="459"/>
      <c r="FK412" s="459"/>
      <c r="FL412" s="459"/>
      <c r="FM412" s="459"/>
      <c r="FN412" s="459"/>
      <c r="FO412" s="459"/>
      <c r="FP412" s="459"/>
      <c r="FQ412" s="459"/>
      <c r="FR412" s="459"/>
      <c r="FS412" s="459"/>
      <c r="FT412" s="459"/>
      <c r="FU412" s="459"/>
      <c r="FV412" s="459"/>
      <c r="FW412" s="459"/>
      <c r="FX412" s="459"/>
      <c r="FY412" s="459"/>
      <c r="FZ412" s="459"/>
      <c r="GA412" s="459"/>
      <c r="GB412" s="459"/>
      <c r="GC412" s="459"/>
      <c r="GD412" s="459"/>
      <c r="GE412" s="459"/>
      <c r="GF412" s="459"/>
      <c r="GG412" s="459"/>
      <c r="GH412" s="459"/>
      <c r="GI412" s="459"/>
      <c r="GJ412" s="459"/>
      <c r="GK412" s="459"/>
      <c r="GL412" s="459"/>
      <c r="GM412" s="459"/>
      <c r="GN412" s="459"/>
      <c r="GO412" s="459"/>
      <c r="GP412" s="459"/>
      <c r="GQ412" s="459"/>
      <c r="GR412" s="459"/>
      <c r="GS412" s="459"/>
      <c r="GT412" s="459"/>
      <c r="GU412" s="459"/>
      <c r="GV412" s="459"/>
      <c r="GW412" s="459"/>
      <c r="GX412" s="459"/>
      <c r="GY412" s="459"/>
      <c r="GZ412" s="459"/>
      <c r="HA412" s="459"/>
      <c r="HB412" s="459"/>
      <c r="HC412" s="459"/>
      <c r="HD412" s="459"/>
      <c r="HE412" s="459"/>
      <c r="HF412" s="459"/>
      <c r="HG412" s="459"/>
      <c r="HH412" s="459"/>
      <c r="HI412" s="459"/>
      <c r="HJ412" s="459"/>
      <c r="HK412" s="459"/>
      <c r="HL412" s="459"/>
      <c r="HM412" s="459"/>
      <c r="HN412" s="459"/>
      <c r="HO412" s="459"/>
      <c r="HP412" s="459"/>
      <c r="HQ412" s="459"/>
      <c r="HR412" s="459"/>
      <c r="HS412" s="459"/>
      <c r="HT412" s="459"/>
      <c r="HU412" s="459"/>
      <c r="HV412" s="459"/>
      <c r="HW412" s="459"/>
      <c r="HX412" s="459"/>
      <c r="HY412" s="459"/>
      <c r="HZ412" s="459"/>
      <c r="IA412" s="459"/>
      <c r="IB412" s="459"/>
      <c r="IC412" s="459"/>
      <c r="ID412" s="459"/>
      <c r="IE412" s="10"/>
      <c r="IF412" s="11"/>
      <c r="IG412" s="11"/>
      <c r="IH412" s="11"/>
    </row>
    <row r="413" spans="2:242" s="12" customFormat="1" ht="15" customHeight="1" x14ac:dyDescent="0.25">
      <c r="B413" s="442"/>
      <c r="C413" s="443"/>
      <c r="D413" s="444"/>
      <c r="E413" s="11"/>
      <c r="F413" s="11"/>
      <c r="G413" s="11"/>
      <c r="H413" s="11"/>
      <c r="I413" s="11"/>
      <c r="J413" s="11"/>
      <c r="K413" s="11"/>
      <c r="L413" s="11"/>
      <c r="M413" s="11"/>
      <c r="N413" s="459"/>
      <c r="O413" s="459"/>
      <c r="P413" s="459"/>
      <c r="Q413" s="459"/>
      <c r="R413" s="459"/>
      <c r="S413" s="459"/>
      <c r="T413" s="11"/>
      <c r="U413" s="11"/>
      <c r="V413" s="11"/>
      <c r="W413" s="11"/>
      <c r="X413" s="11"/>
      <c r="Y413" s="11"/>
      <c r="Z413" s="11"/>
      <c r="AA413" s="11"/>
      <c r="AB413" s="11"/>
      <c r="AC413" s="459"/>
      <c r="AD413" s="11"/>
      <c r="AE413" s="11"/>
      <c r="AF413" s="459"/>
      <c r="AG413" s="11"/>
      <c r="AH413" s="11"/>
      <c r="AI413" s="459"/>
      <c r="AJ413" s="459"/>
      <c r="AK413" s="459"/>
      <c r="AL413" s="459"/>
      <c r="AM413" s="459"/>
      <c r="AN413" s="459"/>
      <c r="AO413" s="459"/>
      <c r="AP413" s="459"/>
      <c r="AQ413" s="459"/>
      <c r="AR413" s="459"/>
      <c r="AS413" s="11"/>
      <c r="AT413" s="459"/>
      <c r="AU413" s="459"/>
      <c r="AV413" s="11"/>
      <c r="AW413" s="11"/>
      <c r="AX413" s="11"/>
      <c r="AY413" s="11"/>
      <c r="AZ413" s="459"/>
      <c r="BA413" s="459"/>
      <c r="BB413" s="11"/>
      <c r="BC413" s="11"/>
      <c r="BD413" s="11"/>
      <c r="BE413" s="11"/>
      <c r="BF413" s="11"/>
      <c r="BG413" s="11"/>
      <c r="BH413" s="11"/>
      <c r="BI413" s="459"/>
      <c r="BJ413" s="459"/>
      <c r="BK413" s="459"/>
      <c r="BL413" s="459"/>
      <c r="BM413" s="459"/>
      <c r="BN413" s="459"/>
      <c r="BO413" s="459"/>
      <c r="BP413" s="459"/>
      <c r="BQ413" s="459"/>
      <c r="BR413" s="459"/>
      <c r="BS413" s="459"/>
      <c r="BT413" s="459"/>
      <c r="BU413" s="459"/>
      <c r="BV413" s="11"/>
      <c r="BW413" s="11"/>
      <c r="BX413" s="11"/>
      <c r="BY413" s="11"/>
      <c r="BZ413" s="11"/>
      <c r="CA413" s="11"/>
      <c r="CB413" s="11"/>
      <c r="CC413" s="11"/>
      <c r="CD413" s="11"/>
      <c r="CE413" s="459"/>
      <c r="CF413" s="459"/>
      <c r="CG413" s="11"/>
      <c r="CH413" s="11"/>
      <c r="CI413" s="459"/>
      <c r="CJ413" s="459"/>
      <c r="CK413" s="11"/>
      <c r="CL413" s="11"/>
      <c r="CM413" s="11"/>
      <c r="CN413" s="11"/>
      <c r="CO413" s="11"/>
      <c r="CP413" s="11"/>
      <c r="CQ413" s="11"/>
      <c r="CR413" s="459"/>
      <c r="CS413" s="459"/>
      <c r="CT413" s="11"/>
      <c r="CU413" s="11"/>
      <c r="CV413" s="11"/>
      <c r="CW413" s="11"/>
      <c r="CX413" s="11"/>
      <c r="CY413" s="11"/>
      <c r="CZ413" s="11"/>
      <c r="DA413" s="459"/>
      <c r="DB413" s="459"/>
      <c r="DC413" s="459"/>
      <c r="DD413" s="459"/>
      <c r="DE413" s="459"/>
      <c r="DF413" s="459"/>
      <c r="DG413" s="459"/>
      <c r="DH413" s="459"/>
      <c r="DI413" s="459"/>
      <c r="DJ413" s="459"/>
      <c r="DK413" s="459"/>
      <c r="DL413" s="459"/>
      <c r="DM413" s="459"/>
      <c r="DN413" s="459"/>
      <c r="DO413" s="459"/>
      <c r="DP413" s="459"/>
      <c r="DQ413" s="459"/>
      <c r="DR413" s="459"/>
      <c r="DS413" s="459"/>
      <c r="DT413" s="459"/>
      <c r="DU413" s="459"/>
      <c r="DV413" s="459"/>
      <c r="DW413" s="459"/>
      <c r="DX413" s="11"/>
      <c r="DY413" s="459"/>
      <c r="DZ413" s="459"/>
      <c r="EA413" s="459"/>
      <c r="EB413" s="459"/>
      <c r="EC413" s="459"/>
      <c r="ED413" s="459"/>
      <c r="EE413" s="459"/>
      <c r="EF413" s="459"/>
      <c r="EG413" s="459"/>
      <c r="EH413" s="459"/>
      <c r="EI413" s="459"/>
      <c r="EJ413" s="459"/>
      <c r="EK413" s="459"/>
      <c r="EL413" s="459"/>
      <c r="EM413" s="459"/>
      <c r="EN413" s="459"/>
      <c r="EO413" s="459"/>
      <c r="EP413" s="459"/>
      <c r="EQ413" s="459"/>
      <c r="ER413" s="459"/>
      <c r="ES413" s="459"/>
      <c r="ET413" s="459"/>
      <c r="EU413" s="459"/>
      <c r="EV413" s="459"/>
      <c r="EW413" s="459"/>
      <c r="EX413" s="459"/>
      <c r="EY413" s="459"/>
      <c r="EZ413" s="459"/>
      <c r="FA413" s="459"/>
      <c r="FB413" s="459"/>
      <c r="FC413" s="459"/>
      <c r="FD413" s="459"/>
      <c r="FE413" s="459"/>
      <c r="FF413" s="459"/>
      <c r="FG413" s="459"/>
      <c r="FH413" s="459"/>
      <c r="FI413" s="459"/>
      <c r="FJ413" s="459"/>
      <c r="FK413" s="459"/>
      <c r="FL413" s="459"/>
      <c r="FM413" s="459"/>
      <c r="FN413" s="459"/>
      <c r="FO413" s="459"/>
      <c r="FP413" s="459"/>
      <c r="FQ413" s="459"/>
      <c r="FR413" s="459"/>
      <c r="FS413" s="459"/>
      <c r="FT413" s="459"/>
      <c r="FU413" s="459"/>
      <c r="FV413" s="459"/>
      <c r="FW413" s="459"/>
      <c r="FX413" s="459"/>
      <c r="FY413" s="459"/>
      <c r="FZ413" s="459"/>
      <c r="GA413" s="459"/>
      <c r="GB413" s="459"/>
      <c r="GC413" s="459"/>
      <c r="GD413" s="459"/>
      <c r="GE413" s="459"/>
      <c r="GF413" s="459"/>
      <c r="GG413" s="459"/>
      <c r="GH413" s="459"/>
      <c r="GI413" s="459"/>
      <c r="GJ413" s="459"/>
      <c r="GK413" s="459"/>
      <c r="GL413" s="459"/>
      <c r="GM413" s="459"/>
      <c r="GN413" s="459"/>
      <c r="GO413" s="459"/>
      <c r="GP413" s="459"/>
      <c r="GQ413" s="459"/>
      <c r="GR413" s="459"/>
      <c r="GS413" s="459"/>
      <c r="GT413" s="459"/>
      <c r="GU413" s="459"/>
      <c r="GV413" s="459"/>
      <c r="GW413" s="459"/>
      <c r="GX413" s="459"/>
      <c r="GY413" s="459"/>
      <c r="GZ413" s="459"/>
      <c r="HA413" s="459"/>
      <c r="HB413" s="459"/>
      <c r="HC413" s="459"/>
      <c r="HD413" s="459"/>
      <c r="HE413" s="459"/>
      <c r="HF413" s="459"/>
      <c r="HG413" s="459"/>
      <c r="HH413" s="459"/>
      <c r="HI413" s="459"/>
      <c r="HJ413" s="459"/>
      <c r="HK413" s="459"/>
      <c r="HL413" s="459"/>
      <c r="HM413" s="459"/>
      <c r="HN413" s="459"/>
      <c r="HO413" s="459"/>
      <c r="HP413" s="459"/>
      <c r="HQ413" s="459"/>
      <c r="HR413" s="459"/>
      <c r="HS413" s="459"/>
      <c r="HT413" s="459"/>
      <c r="HU413" s="459"/>
      <c r="HV413" s="459"/>
      <c r="HW413" s="459"/>
      <c r="HX413" s="459"/>
      <c r="HY413" s="459"/>
      <c r="HZ413" s="459"/>
      <c r="IA413" s="459"/>
      <c r="IB413" s="459"/>
      <c r="IC413" s="459"/>
      <c r="ID413" s="459"/>
      <c r="IE413" s="10"/>
      <c r="IF413" s="11"/>
      <c r="IG413" s="11"/>
      <c r="IH413" s="11"/>
    </row>
    <row r="414" spans="2:242" s="12" customFormat="1" ht="15" customHeight="1" x14ac:dyDescent="0.25">
      <c r="B414" s="442"/>
      <c r="C414" s="443"/>
      <c r="D414" s="444"/>
      <c r="E414" s="11"/>
      <c r="F414" s="11"/>
      <c r="G414" s="11"/>
      <c r="H414" s="11"/>
      <c r="I414" s="11"/>
      <c r="J414" s="11"/>
      <c r="K414" s="11"/>
      <c r="L414" s="11"/>
      <c r="M414" s="11"/>
      <c r="N414" s="459"/>
      <c r="O414" s="459"/>
      <c r="P414" s="459"/>
      <c r="Q414" s="459"/>
      <c r="R414" s="459"/>
      <c r="S414" s="459"/>
      <c r="T414" s="11"/>
      <c r="U414" s="11"/>
      <c r="V414" s="11"/>
      <c r="W414" s="11"/>
      <c r="X414" s="11"/>
      <c r="Y414" s="11"/>
      <c r="Z414" s="11"/>
      <c r="AA414" s="11"/>
      <c r="AB414" s="11"/>
      <c r="AC414" s="459"/>
      <c r="AD414" s="11"/>
      <c r="AE414" s="11"/>
      <c r="AF414" s="459"/>
      <c r="AG414" s="11"/>
      <c r="AH414" s="11"/>
      <c r="AI414" s="459"/>
      <c r="AJ414" s="459"/>
      <c r="AK414" s="459"/>
      <c r="AL414" s="459"/>
      <c r="AM414" s="459"/>
      <c r="AN414" s="459"/>
      <c r="AO414" s="459"/>
      <c r="AP414" s="459"/>
      <c r="AQ414" s="459"/>
      <c r="AR414" s="459"/>
      <c r="AS414" s="11"/>
      <c r="AT414" s="459"/>
      <c r="AU414" s="459"/>
      <c r="AV414" s="11"/>
      <c r="AW414" s="11"/>
      <c r="AX414" s="11"/>
      <c r="AY414" s="11"/>
      <c r="AZ414" s="459"/>
      <c r="BA414" s="459"/>
      <c r="BB414" s="11"/>
      <c r="BC414" s="11"/>
      <c r="BD414" s="11"/>
      <c r="BE414" s="11"/>
      <c r="BF414" s="11"/>
      <c r="BG414" s="11"/>
      <c r="BH414" s="11"/>
      <c r="BI414" s="459"/>
      <c r="BJ414" s="459"/>
      <c r="BK414" s="459"/>
      <c r="BL414" s="459"/>
      <c r="BM414" s="459"/>
      <c r="BN414" s="459"/>
      <c r="BO414" s="459"/>
      <c r="BP414" s="459"/>
      <c r="BQ414" s="459"/>
      <c r="BR414" s="459"/>
      <c r="BS414" s="459"/>
      <c r="BT414" s="459"/>
      <c r="BU414" s="459"/>
      <c r="BV414" s="11"/>
      <c r="BW414" s="11"/>
      <c r="BX414" s="11"/>
      <c r="BY414" s="11"/>
      <c r="BZ414" s="11"/>
      <c r="CA414" s="11"/>
      <c r="CB414" s="11"/>
      <c r="CC414" s="11"/>
      <c r="CD414" s="11"/>
      <c r="CE414" s="459"/>
      <c r="CF414" s="459"/>
      <c r="CG414" s="11"/>
      <c r="CH414" s="11"/>
      <c r="CI414" s="459"/>
      <c r="CJ414" s="459"/>
      <c r="CK414" s="11"/>
      <c r="CL414" s="11"/>
      <c r="CM414" s="11"/>
      <c r="CN414" s="11"/>
      <c r="CO414" s="11"/>
      <c r="CP414" s="11"/>
      <c r="CQ414" s="11"/>
      <c r="CR414" s="459"/>
      <c r="CS414" s="459"/>
      <c r="CT414" s="11"/>
      <c r="CU414" s="11"/>
      <c r="CV414" s="11"/>
      <c r="CW414" s="11"/>
      <c r="CX414" s="11"/>
      <c r="CY414" s="11"/>
      <c r="CZ414" s="11"/>
      <c r="DA414" s="459"/>
      <c r="DB414" s="459"/>
      <c r="DC414" s="459"/>
      <c r="DD414" s="459"/>
      <c r="DE414" s="459"/>
      <c r="DF414" s="459"/>
      <c r="DG414" s="459"/>
      <c r="DH414" s="459"/>
      <c r="DI414" s="459"/>
      <c r="DJ414" s="459"/>
      <c r="DK414" s="459"/>
      <c r="DL414" s="459"/>
      <c r="DM414" s="459"/>
      <c r="DN414" s="459"/>
      <c r="DO414" s="459"/>
      <c r="DP414" s="459"/>
      <c r="DQ414" s="459"/>
      <c r="DR414" s="459"/>
      <c r="DS414" s="459"/>
      <c r="DT414" s="459"/>
      <c r="DU414" s="459"/>
      <c r="DV414" s="459"/>
      <c r="DW414" s="459"/>
      <c r="DX414" s="11"/>
      <c r="DY414" s="459"/>
      <c r="DZ414" s="459"/>
      <c r="EA414" s="459"/>
      <c r="EB414" s="459"/>
      <c r="EC414" s="459"/>
      <c r="ED414" s="459"/>
      <c r="EE414" s="459"/>
      <c r="EF414" s="459"/>
      <c r="EG414" s="459"/>
      <c r="EH414" s="459"/>
      <c r="EI414" s="459"/>
      <c r="EJ414" s="459"/>
      <c r="EK414" s="459"/>
      <c r="EL414" s="459"/>
      <c r="EM414" s="459"/>
      <c r="EN414" s="459"/>
      <c r="EO414" s="459"/>
      <c r="EP414" s="459"/>
      <c r="EQ414" s="459"/>
      <c r="ER414" s="459"/>
      <c r="ES414" s="459"/>
      <c r="ET414" s="459"/>
      <c r="EU414" s="459"/>
      <c r="EV414" s="459"/>
      <c r="EW414" s="459"/>
      <c r="EX414" s="459"/>
      <c r="EY414" s="459"/>
      <c r="EZ414" s="459"/>
      <c r="FA414" s="459"/>
      <c r="FB414" s="459"/>
      <c r="FC414" s="459"/>
      <c r="FD414" s="459"/>
      <c r="FE414" s="459"/>
      <c r="FF414" s="459"/>
      <c r="FG414" s="459"/>
      <c r="FH414" s="459"/>
      <c r="FI414" s="459"/>
      <c r="FJ414" s="459"/>
      <c r="FK414" s="459"/>
      <c r="FL414" s="459"/>
      <c r="FM414" s="459"/>
      <c r="FN414" s="459"/>
      <c r="FO414" s="459"/>
      <c r="FP414" s="459"/>
      <c r="FQ414" s="459"/>
      <c r="FR414" s="459"/>
      <c r="FS414" s="459"/>
      <c r="FT414" s="459"/>
      <c r="FU414" s="459"/>
      <c r="FV414" s="459"/>
      <c r="FW414" s="459"/>
      <c r="FX414" s="459"/>
      <c r="FY414" s="459"/>
      <c r="FZ414" s="459"/>
      <c r="GA414" s="459"/>
      <c r="GB414" s="459"/>
      <c r="GC414" s="459"/>
      <c r="GD414" s="459"/>
      <c r="GE414" s="459"/>
      <c r="GF414" s="459"/>
      <c r="GG414" s="459"/>
      <c r="GH414" s="459"/>
      <c r="GI414" s="459"/>
      <c r="GJ414" s="459"/>
      <c r="GK414" s="459"/>
      <c r="GL414" s="459"/>
      <c r="GM414" s="459"/>
      <c r="GN414" s="459"/>
      <c r="GO414" s="459"/>
      <c r="GP414" s="459"/>
      <c r="GQ414" s="459"/>
      <c r="GR414" s="459"/>
      <c r="GS414" s="459"/>
      <c r="GT414" s="459"/>
      <c r="GU414" s="459"/>
      <c r="GV414" s="459"/>
      <c r="GW414" s="459"/>
      <c r="GX414" s="459"/>
      <c r="GY414" s="459"/>
      <c r="GZ414" s="459"/>
      <c r="HA414" s="459"/>
      <c r="HB414" s="459"/>
      <c r="HC414" s="459"/>
      <c r="HD414" s="459"/>
      <c r="HE414" s="459"/>
      <c r="HF414" s="459"/>
      <c r="HG414" s="459"/>
      <c r="HH414" s="459"/>
      <c r="HI414" s="459"/>
      <c r="HJ414" s="459"/>
      <c r="HK414" s="459"/>
      <c r="HL414" s="459"/>
      <c r="HM414" s="459"/>
      <c r="HN414" s="459"/>
      <c r="HO414" s="459"/>
      <c r="HP414" s="459"/>
      <c r="HQ414" s="459"/>
      <c r="HR414" s="459"/>
      <c r="HS414" s="459"/>
      <c r="HT414" s="459"/>
      <c r="HU414" s="459"/>
      <c r="HV414" s="459"/>
      <c r="HW414" s="459"/>
      <c r="HX414" s="459"/>
      <c r="HY414" s="459"/>
      <c r="HZ414" s="459"/>
      <c r="IA414" s="459"/>
      <c r="IB414" s="459"/>
      <c r="IC414" s="459"/>
      <c r="ID414" s="459"/>
      <c r="IE414" s="10"/>
      <c r="IF414" s="11"/>
      <c r="IG414" s="11"/>
      <c r="IH414" s="11"/>
    </row>
    <row r="415" spans="2:242" s="12" customFormat="1" ht="15" customHeight="1" x14ac:dyDescent="0.25">
      <c r="B415" s="442"/>
      <c r="C415" s="443"/>
      <c r="D415" s="444"/>
      <c r="E415" s="11"/>
      <c r="F415" s="11"/>
      <c r="G415" s="11"/>
      <c r="H415" s="11"/>
      <c r="I415" s="11"/>
      <c r="J415" s="11"/>
      <c r="K415" s="11"/>
      <c r="L415" s="11"/>
      <c r="M415" s="11"/>
      <c r="N415" s="459"/>
      <c r="O415" s="459"/>
      <c r="P415" s="459"/>
      <c r="Q415" s="459"/>
      <c r="R415" s="459"/>
      <c r="S415" s="459"/>
      <c r="T415" s="11"/>
      <c r="U415" s="11"/>
      <c r="V415" s="11"/>
      <c r="W415" s="11"/>
      <c r="X415" s="11"/>
      <c r="Y415" s="11"/>
      <c r="Z415" s="11"/>
      <c r="AA415" s="11"/>
      <c r="AB415" s="11"/>
      <c r="AC415" s="459"/>
      <c r="AD415" s="11"/>
      <c r="AE415" s="11"/>
      <c r="AF415" s="459"/>
      <c r="AG415" s="11"/>
      <c r="AH415" s="11"/>
      <c r="AI415" s="459"/>
      <c r="AJ415" s="459"/>
      <c r="AK415" s="459"/>
      <c r="AL415" s="459"/>
      <c r="AM415" s="459"/>
      <c r="AN415" s="459"/>
      <c r="AO415" s="459"/>
      <c r="AP415" s="459"/>
      <c r="AQ415" s="459"/>
      <c r="AR415" s="459"/>
      <c r="AS415" s="11"/>
      <c r="AT415" s="459"/>
      <c r="AU415" s="459"/>
      <c r="AV415" s="11"/>
      <c r="AW415" s="11"/>
      <c r="AX415" s="11"/>
      <c r="AY415" s="11"/>
      <c r="AZ415" s="459"/>
      <c r="BA415" s="459"/>
      <c r="BB415" s="11"/>
      <c r="BC415" s="11"/>
      <c r="BD415" s="11"/>
      <c r="BE415" s="11"/>
      <c r="BF415" s="11"/>
      <c r="BG415" s="11"/>
      <c r="BH415" s="11"/>
      <c r="BI415" s="459"/>
      <c r="BJ415" s="459"/>
      <c r="BK415" s="459"/>
      <c r="BL415" s="459"/>
      <c r="BM415" s="459"/>
      <c r="BN415" s="459"/>
      <c r="BO415" s="459"/>
      <c r="BP415" s="459"/>
      <c r="BQ415" s="459"/>
      <c r="BR415" s="459"/>
      <c r="BS415" s="459"/>
      <c r="BT415" s="459"/>
      <c r="BU415" s="459"/>
      <c r="BV415" s="11"/>
      <c r="BW415" s="11"/>
      <c r="BX415" s="11"/>
      <c r="BY415" s="11"/>
      <c r="BZ415" s="11"/>
      <c r="CA415" s="11"/>
      <c r="CB415" s="11"/>
      <c r="CC415" s="11"/>
      <c r="CD415" s="11"/>
      <c r="CE415" s="459"/>
      <c r="CF415" s="459"/>
      <c r="CG415" s="11"/>
      <c r="CH415" s="11"/>
      <c r="CI415" s="459"/>
      <c r="CJ415" s="459"/>
      <c r="CK415" s="11"/>
      <c r="CL415" s="11"/>
      <c r="CM415" s="11"/>
      <c r="CN415" s="11"/>
      <c r="CO415" s="11"/>
      <c r="CP415" s="11"/>
      <c r="CQ415" s="11"/>
      <c r="CR415" s="459"/>
      <c r="CS415" s="459"/>
      <c r="CT415" s="11"/>
      <c r="CU415" s="11"/>
      <c r="CV415" s="11"/>
      <c r="CW415" s="11"/>
      <c r="CX415" s="11"/>
      <c r="CY415" s="11"/>
      <c r="CZ415" s="11"/>
      <c r="DA415" s="459"/>
      <c r="DB415" s="459"/>
      <c r="DC415" s="459"/>
      <c r="DD415" s="459"/>
      <c r="DE415" s="459"/>
      <c r="DF415" s="459"/>
      <c r="DG415" s="459"/>
      <c r="DH415" s="459"/>
      <c r="DI415" s="459"/>
      <c r="DJ415" s="459"/>
      <c r="DK415" s="459"/>
      <c r="DL415" s="459"/>
      <c r="DM415" s="459"/>
      <c r="DN415" s="459"/>
      <c r="DO415" s="459"/>
      <c r="DP415" s="459"/>
      <c r="DQ415" s="459"/>
      <c r="DR415" s="459"/>
      <c r="DS415" s="459"/>
      <c r="DT415" s="459"/>
      <c r="DU415" s="459"/>
      <c r="DV415" s="459"/>
      <c r="DW415" s="459"/>
      <c r="DX415" s="11"/>
      <c r="DY415" s="459"/>
      <c r="DZ415" s="459"/>
      <c r="EA415" s="459"/>
      <c r="EB415" s="459"/>
      <c r="EC415" s="459"/>
      <c r="ED415" s="459"/>
      <c r="EE415" s="459"/>
      <c r="EF415" s="459"/>
      <c r="EG415" s="459"/>
      <c r="EH415" s="459"/>
      <c r="EI415" s="459"/>
      <c r="EJ415" s="459"/>
      <c r="EK415" s="459"/>
      <c r="EL415" s="459"/>
      <c r="EM415" s="459"/>
      <c r="EN415" s="459"/>
      <c r="EO415" s="459"/>
      <c r="EP415" s="459"/>
      <c r="EQ415" s="459"/>
      <c r="ER415" s="459"/>
      <c r="ES415" s="459"/>
      <c r="ET415" s="459"/>
      <c r="EU415" s="459"/>
      <c r="EV415" s="459"/>
      <c r="EW415" s="459"/>
      <c r="EX415" s="459"/>
      <c r="EY415" s="459"/>
      <c r="EZ415" s="459"/>
      <c r="FA415" s="459"/>
      <c r="FB415" s="459"/>
      <c r="FC415" s="459"/>
      <c r="FD415" s="459"/>
      <c r="FE415" s="459"/>
      <c r="FF415" s="459"/>
      <c r="FG415" s="459"/>
      <c r="FH415" s="459"/>
      <c r="FI415" s="459"/>
      <c r="FJ415" s="459"/>
      <c r="FK415" s="459"/>
      <c r="FL415" s="459"/>
      <c r="FM415" s="459"/>
      <c r="FN415" s="459"/>
      <c r="FO415" s="459"/>
      <c r="FP415" s="459"/>
      <c r="FQ415" s="459"/>
      <c r="FR415" s="459"/>
      <c r="FS415" s="459"/>
      <c r="FT415" s="459"/>
      <c r="FU415" s="459"/>
      <c r="FV415" s="459"/>
      <c r="FW415" s="459"/>
      <c r="FX415" s="459"/>
      <c r="FY415" s="459"/>
      <c r="FZ415" s="459"/>
      <c r="GA415" s="459"/>
      <c r="GB415" s="459"/>
      <c r="GC415" s="459"/>
      <c r="GD415" s="459"/>
      <c r="GE415" s="459"/>
      <c r="GF415" s="459"/>
      <c r="GG415" s="459"/>
      <c r="GH415" s="459"/>
      <c r="GI415" s="459"/>
      <c r="GJ415" s="459"/>
      <c r="GK415" s="459"/>
      <c r="GL415" s="459"/>
      <c r="GM415" s="459"/>
      <c r="GN415" s="459"/>
      <c r="GO415" s="459"/>
      <c r="GP415" s="459"/>
      <c r="GQ415" s="459"/>
      <c r="GR415" s="459"/>
      <c r="GS415" s="459"/>
      <c r="GT415" s="459"/>
      <c r="GU415" s="459"/>
      <c r="GV415" s="459"/>
      <c r="GW415" s="459"/>
      <c r="GX415" s="459"/>
      <c r="GY415" s="459"/>
      <c r="GZ415" s="459"/>
      <c r="HA415" s="459"/>
      <c r="HB415" s="459"/>
      <c r="HC415" s="459"/>
      <c r="HD415" s="459"/>
      <c r="HE415" s="459"/>
      <c r="HF415" s="459"/>
      <c r="HG415" s="459"/>
      <c r="HH415" s="459"/>
      <c r="HI415" s="459"/>
      <c r="HJ415" s="459"/>
      <c r="HK415" s="459"/>
      <c r="HL415" s="459"/>
      <c r="HM415" s="459"/>
      <c r="HN415" s="459"/>
      <c r="HO415" s="459"/>
      <c r="HP415" s="459"/>
      <c r="HQ415" s="459"/>
      <c r="HR415" s="459"/>
      <c r="HS415" s="459"/>
      <c r="HT415" s="459"/>
      <c r="HU415" s="459"/>
      <c r="HV415" s="459"/>
      <c r="HW415" s="459"/>
      <c r="HX415" s="459"/>
      <c r="HY415" s="459"/>
      <c r="HZ415" s="459"/>
      <c r="IA415" s="459"/>
      <c r="IB415" s="459"/>
      <c r="IC415" s="459"/>
      <c r="ID415" s="459"/>
      <c r="IE415" s="10"/>
      <c r="IF415" s="11"/>
      <c r="IG415" s="11"/>
      <c r="IH415" s="11"/>
    </row>
    <row r="416" spans="2:242" s="12" customFormat="1" ht="15" customHeight="1" x14ac:dyDescent="0.25">
      <c r="B416" s="442"/>
      <c r="C416" s="443"/>
      <c r="D416" s="444"/>
      <c r="E416" s="11"/>
      <c r="F416" s="11"/>
      <c r="G416" s="11"/>
      <c r="H416" s="11"/>
      <c r="I416" s="11"/>
      <c r="J416" s="11"/>
      <c r="K416" s="11"/>
      <c r="L416" s="11"/>
      <c r="M416" s="11"/>
      <c r="N416" s="459"/>
      <c r="O416" s="459"/>
      <c r="P416" s="459"/>
      <c r="Q416" s="459"/>
      <c r="R416" s="459"/>
      <c r="S416" s="459"/>
      <c r="T416" s="11"/>
      <c r="U416" s="11"/>
      <c r="V416" s="11"/>
      <c r="W416" s="11"/>
      <c r="X416" s="11"/>
      <c r="Y416" s="11"/>
      <c r="Z416" s="11"/>
      <c r="AA416" s="11"/>
      <c r="AB416" s="11"/>
      <c r="AC416" s="459"/>
      <c r="AD416" s="11"/>
      <c r="AE416" s="11"/>
      <c r="AF416" s="459"/>
      <c r="AG416" s="11"/>
      <c r="AH416" s="11"/>
      <c r="AI416" s="459"/>
      <c r="AJ416" s="459"/>
      <c r="AK416" s="459"/>
      <c r="AL416" s="459"/>
      <c r="AM416" s="459"/>
      <c r="AN416" s="459"/>
      <c r="AO416" s="459"/>
      <c r="AP416" s="459"/>
      <c r="AQ416" s="459"/>
      <c r="AR416" s="459"/>
      <c r="AS416" s="11"/>
      <c r="AT416" s="459"/>
      <c r="AU416" s="459"/>
      <c r="AV416" s="11"/>
      <c r="AW416" s="11"/>
      <c r="AX416" s="11"/>
      <c r="AY416" s="11"/>
      <c r="AZ416" s="459"/>
      <c r="BA416" s="459"/>
      <c r="BB416" s="11"/>
      <c r="BC416" s="11"/>
      <c r="BD416" s="11"/>
      <c r="BE416" s="11"/>
      <c r="BF416" s="11"/>
      <c r="BG416" s="11"/>
      <c r="BH416" s="11"/>
      <c r="BI416" s="459"/>
      <c r="BJ416" s="459"/>
      <c r="BK416" s="459"/>
      <c r="BL416" s="459"/>
      <c r="BM416" s="459"/>
      <c r="BN416" s="459"/>
      <c r="BO416" s="459"/>
      <c r="BP416" s="459"/>
      <c r="BQ416" s="459"/>
      <c r="BR416" s="459"/>
      <c r="BS416" s="459"/>
      <c r="BT416" s="459"/>
      <c r="BU416" s="459"/>
      <c r="BV416" s="11"/>
      <c r="BW416" s="11"/>
      <c r="BX416" s="11"/>
      <c r="BY416" s="11"/>
      <c r="BZ416" s="11"/>
      <c r="CA416" s="11"/>
      <c r="CB416" s="11"/>
      <c r="CC416" s="11"/>
      <c r="CD416" s="11"/>
      <c r="CE416" s="459"/>
      <c r="CF416" s="459"/>
      <c r="CG416" s="11"/>
      <c r="CH416" s="11"/>
      <c r="CI416" s="459"/>
      <c r="CJ416" s="459"/>
      <c r="CK416" s="11"/>
      <c r="CL416" s="11"/>
      <c r="CM416" s="11"/>
      <c r="CN416" s="11"/>
      <c r="CO416" s="11"/>
      <c r="CP416" s="11"/>
      <c r="CQ416" s="11"/>
      <c r="CR416" s="459"/>
      <c r="CS416" s="459"/>
      <c r="CT416" s="11"/>
      <c r="CU416" s="11"/>
      <c r="CV416" s="11"/>
      <c r="CW416" s="11"/>
      <c r="CX416" s="11"/>
      <c r="CY416" s="11"/>
      <c r="CZ416" s="11"/>
      <c r="DA416" s="459"/>
      <c r="DB416" s="459"/>
      <c r="DC416" s="459"/>
      <c r="DD416" s="459"/>
      <c r="DE416" s="459"/>
      <c r="DF416" s="459"/>
      <c r="DG416" s="459"/>
      <c r="DH416" s="459"/>
      <c r="DI416" s="459"/>
      <c r="DJ416" s="459"/>
      <c r="DK416" s="459"/>
      <c r="DL416" s="459"/>
      <c r="DM416" s="459"/>
      <c r="DN416" s="459"/>
      <c r="DO416" s="459"/>
      <c r="DP416" s="459"/>
      <c r="DQ416" s="459"/>
      <c r="DR416" s="459"/>
      <c r="DS416" s="459"/>
      <c r="DT416" s="459"/>
      <c r="DU416" s="459"/>
      <c r="DV416" s="459"/>
      <c r="DW416" s="459"/>
      <c r="DX416" s="11"/>
      <c r="DY416" s="459"/>
      <c r="DZ416" s="459"/>
      <c r="EA416" s="459"/>
      <c r="EB416" s="459"/>
      <c r="EC416" s="459"/>
      <c r="ED416" s="459"/>
      <c r="EE416" s="459"/>
      <c r="EF416" s="459"/>
      <c r="EG416" s="459"/>
      <c r="EH416" s="459"/>
      <c r="EI416" s="459"/>
      <c r="EJ416" s="459"/>
      <c r="EK416" s="459"/>
      <c r="EL416" s="459"/>
      <c r="EM416" s="459"/>
      <c r="EN416" s="459"/>
      <c r="EO416" s="459"/>
      <c r="EP416" s="459"/>
      <c r="EQ416" s="459"/>
      <c r="ER416" s="459"/>
      <c r="ES416" s="459"/>
      <c r="ET416" s="459"/>
      <c r="EU416" s="459"/>
      <c r="EV416" s="459"/>
      <c r="EW416" s="459"/>
      <c r="EX416" s="459"/>
      <c r="EY416" s="459"/>
      <c r="EZ416" s="459"/>
      <c r="FA416" s="459"/>
      <c r="FB416" s="459"/>
      <c r="FC416" s="459"/>
      <c r="FD416" s="459"/>
      <c r="FE416" s="459"/>
      <c r="FF416" s="459"/>
      <c r="FG416" s="459"/>
      <c r="FH416" s="459"/>
      <c r="FI416" s="459"/>
      <c r="FJ416" s="459"/>
      <c r="FK416" s="459"/>
      <c r="FL416" s="459"/>
      <c r="FM416" s="459"/>
      <c r="FN416" s="459"/>
      <c r="FO416" s="459"/>
      <c r="FP416" s="459"/>
      <c r="FQ416" s="459"/>
      <c r="FR416" s="459"/>
      <c r="FS416" s="459"/>
      <c r="FT416" s="459"/>
      <c r="FU416" s="459"/>
      <c r="FV416" s="459"/>
      <c r="FW416" s="459"/>
      <c r="FX416" s="459"/>
      <c r="FY416" s="459"/>
      <c r="FZ416" s="459"/>
      <c r="GA416" s="459"/>
      <c r="GB416" s="459"/>
      <c r="GC416" s="459"/>
      <c r="GD416" s="459"/>
      <c r="GE416" s="459"/>
      <c r="GF416" s="459"/>
      <c r="GG416" s="459"/>
      <c r="GH416" s="459"/>
      <c r="GI416" s="459"/>
      <c r="GJ416" s="459"/>
      <c r="GK416" s="459"/>
      <c r="GL416" s="459"/>
      <c r="GM416" s="459"/>
      <c r="GN416" s="459"/>
      <c r="GO416" s="459"/>
      <c r="GP416" s="459"/>
      <c r="GQ416" s="459"/>
      <c r="GR416" s="459"/>
      <c r="GS416" s="459"/>
      <c r="GT416" s="459"/>
      <c r="GU416" s="459"/>
      <c r="GV416" s="459"/>
      <c r="GW416" s="459"/>
      <c r="GX416" s="459"/>
      <c r="GY416" s="459"/>
      <c r="GZ416" s="459"/>
      <c r="HA416" s="459"/>
      <c r="HB416" s="459"/>
      <c r="HC416" s="459"/>
      <c r="HD416" s="459"/>
      <c r="HE416" s="459"/>
      <c r="HF416" s="459"/>
      <c r="HG416" s="459"/>
      <c r="HH416" s="459"/>
      <c r="HI416" s="459"/>
      <c r="HJ416" s="459"/>
      <c r="HK416" s="459"/>
      <c r="HL416" s="459"/>
      <c r="HM416" s="459"/>
      <c r="HN416" s="459"/>
      <c r="HO416" s="459"/>
      <c r="HP416" s="459"/>
      <c r="HQ416" s="459"/>
      <c r="HR416" s="459"/>
      <c r="HS416" s="459"/>
      <c r="HT416" s="459"/>
      <c r="HU416" s="459"/>
      <c r="HV416" s="459"/>
      <c r="HW416" s="459"/>
      <c r="HX416" s="459"/>
      <c r="HY416" s="459"/>
      <c r="HZ416" s="459"/>
      <c r="IA416" s="459"/>
      <c r="IB416" s="459"/>
      <c r="IC416" s="459"/>
      <c r="ID416" s="459"/>
      <c r="IE416" s="10"/>
      <c r="IF416" s="11"/>
      <c r="IG416" s="11"/>
      <c r="IH416" s="11"/>
    </row>
    <row r="417" spans="1:249" s="466" customFormat="1" ht="46.5" customHeight="1" x14ac:dyDescent="0.2">
      <c r="B417" s="770"/>
      <c r="C417" s="770"/>
      <c r="D417" s="770"/>
      <c r="E417" s="770"/>
      <c r="F417" s="770"/>
      <c r="G417" s="770"/>
      <c r="H417" s="770"/>
      <c r="I417" s="770"/>
      <c r="J417" s="770"/>
      <c r="K417" s="770"/>
      <c r="L417" s="770"/>
      <c r="M417" s="770"/>
      <c r="N417" s="770"/>
      <c r="O417" s="770"/>
      <c r="P417" s="770"/>
      <c r="Q417" s="770"/>
      <c r="R417" s="770"/>
      <c r="S417" s="770"/>
      <c r="T417" s="770"/>
      <c r="U417" s="770"/>
      <c r="V417" s="770"/>
      <c r="W417" s="770"/>
      <c r="X417" s="770"/>
      <c r="Y417" s="770"/>
      <c r="Z417" s="770"/>
      <c r="AA417" s="770"/>
      <c r="AB417" s="770"/>
      <c r="AC417" s="770"/>
      <c r="AD417" s="770"/>
      <c r="AE417" s="770"/>
      <c r="AF417" s="770"/>
      <c r="AG417" s="770"/>
      <c r="AH417" s="770"/>
      <c r="AI417" s="770"/>
      <c r="AJ417" s="770"/>
      <c r="AK417" s="770"/>
      <c r="AL417" s="770"/>
      <c r="AM417" s="770"/>
      <c r="AN417" s="770"/>
      <c r="AO417" s="770"/>
      <c r="AP417" s="770"/>
      <c r="AQ417" s="770"/>
      <c r="AR417" s="770"/>
      <c r="AS417" s="770"/>
      <c r="AT417" s="770"/>
      <c r="AU417" s="770"/>
      <c r="AV417" s="770"/>
      <c r="AW417" s="770"/>
      <c r="AX417" s="770"/>
      <c r="AY417" s="770"/>
      <c r="AZ417" s="770"/>
      <c r="BA417" s="770"/>
      <c r="BB417" s="770"/>
      <c r="BC417" s="770"/>
      <c r="BD417" s="770"/>
      <c r="BE417" s="770"/>
      <c r="BF417" s="770"/>
      <c r="BG417" s="770"/>
      <c r="BH417" s="770"/>
      <c r="BI417" s="770"/>
      <c r="BJ417" s="770"/>
      <c r="BK417" s="770"/>
      <c r="BL417" s="770"/>
      <c r="BM417" s="770"/>
      <c r="BN417" s="770"/>
      <c r="BO417" s="770"/>
      <c r="BP417" s="770"/>
      <c r="BQ417" s="770"/>
      <c r="BR417" s="770"/>
      <c r="BS417" s="770"/>
      <c r="BT417" s="770"/>
      <c r="BU417" s="770"/>
      <c r="BV417" s="770"/>
      <c r="BW417" s="770"/>
      <c r="BX417" s="770"/>
      <c r="BY417" s="770"/>
      <c r="BZ417" s="770"/>
      <c r="CA417" s="770"/>
      <c r="CB417" s="770"/>
      <c r="CC417" s="770"/>
      <c r="CD417" s="770"/>
      <c r="CE417" s="770"/>
      <c r="CF417" s="770"/>
      <c r="CG417" s="770"/>
      <c r="CH417" s="770"/>
      <c r="CI417" s="770"/>
      <c r="CJ417" s="770"/>
      <c r="CK417" s="770"/>
      <c r="CL417" s="770"/>
      <c r="CM417" s="770"/>
      <c r="CN417" s="770"/>
      <c r="CO417" s="770"/>
      <c r="CP417" s="770"/>
      <c r="CQ417" s="770"/>
      <c r="CR417" s="770"/>
      <c r="CS417" s="770"/>
      <c r="CT417" s="770"/>
      <c r="CU417" s="770"/>
      <c r="CV417" s="770"/>
      <c r="CW417" s="770"/>
      <c r="CX417" s="467"/>
      <c r="CY417" s="467"/>
      <c r="CZ417" s="468"/>
      <c r="DA417" s="771"/>
      <c r="DB417" s="771"/>
      <c r="DC417" s="772"/>
      <c r="DD417" s="772"/>
      <c r="DE417" s="772"/>
      <c r="DF417" s="772"/>
      <c r="DG417" s="772"/>
      <c r="DH417" s="772"/>
      <c r="DI417" s="772"/>
      <c r="DJ417" s="772"/>
      <c r="DK417" s="772"/>
      <c r="DL417" s="772"/>
      <c r="DM417" s="772"/>
      <c r="DN417" s="772"/>
      <c r="DO417" s="772"/>
      <c r="DP417" s="772"/>
      <c r="DQ417" s="772"/>
      <c r="DR417" s="772"/>
      <c r="DS417" s="772"/>
      <c r="DT417" s="772"/>
      <c r="DU417" s="772"/>
      <c r="DV417" s="772"/>
      <c r="DW417" s="772"/>
      <c r="DX417" s="772"/>
      <c r="DY417" s="772"/>
      <c r="DZ417" s="772"/>
      <c r="EA417" s="772"/>
      <c r="EB417" s="772"/>
      <c r="EC417" s="772"/>
      <c r="ED417" s="772"/>
      <c r="EE417" s="772"/>
      <c r="EF417" s="772"/>
      <c r="EG417" s="772"/>
      <c r="EH417" s="772"/>
      <c r="EI417" s="772"/>
      <c r="EJ417" s="772"/>
      <c r="EK417" s="772"/>
      <c r="EL417" s="772"/>
      <c r="EM417" s="772"/>
      <c r="EN417" s="772"/>
      <c r="EO417" s="772"/>
      <c r="EP417" s="772"/>
      <c r="EQ417" s="772"/>
      <c r="ER417" s="772"/>
      <c r="ES417" s="772"/>
      <c r="ET417" s="772"/>
      <c r="EU417" s="772"/>
      <c r="EV417" s="772"/>
      <c r="EW417" s="772"/>
      <c r="EX417" s="772"/>
      <c r="EY417" s="772"/>
      <c r="EZ417" s="772"/>
      <c r="FA417" s="772"/>
      <c r="FB417" s="772"/>
      <c r="FC417" s="772"/>
      <c r="IE417" s="469"/>
    </row>
    <row r="418" spans="1:249" s="444" customFormat="1" ht="18.75" customHeight="1" x14ac:dyDescent="0.25">
      <c r="A418" s="470"/>
      <c r="B418" s="443"/>
      <c r="D418" s="459"/>
      <c r="E418" s="11"/>
      <c r="F418" s="11"/>
      <c r="G418" s="459"/>
      <c r="H418" s="11"/>
      <c r="I418" s="11"/>
      <c r="J418" s="459"/>
      <c r="K418" s="11"/>
      <c r="L418" s="11"/>
      <c r="M418" s="459"/>
      <c r="N418" s="459"/>
      <c r="O418" s="459"/>
      <c r="P418" s="459"/>
      <c r="Q418" s="459"/>
      <c r="R418" s="459"/>
      <c r="S418" s="459"/>
      <c r="T418" s="459"/>
      <c r="U418" s="459"/>
      <c r="V418" s="11"/>
      <c r="W418" s="459"/>
      <c r="X418" s="459"/>
      <c r="Y418" s="11"/>
      <c r="Z418" s="11"/>
      <c r="AA418" s="11"/>
      <c r="AB418" s="11"/>
      <c r="AC418" s="459"/>
      <c r="AD418" s="459"/>
      <c r="AE418" s="11"/>
      <c r="AF418" s="11"/>
      <c r="AG418" s="11"/>
      <c r="AH418" s="11"/>
      <c r="AI418" s="11"/>
      <c r="AJ418" s="11"/>
      <c r="AK418" s="459"/>
      <c r="AL418" s="459"/>
      <c r="AM418" s="11"/>
      <c r="AN418" s="11"/>
      <c r="AO418" s="11"/>
      <c r="AP418" s="11"/>
      <c r="AQ418" s="11"/>
      <c r="AR418" s="11"/>
      <c r="AS418" s="11"/>
      <c r="AT418" s="11"/>
      <c r="AU418" s="11"/>
      <c r="AV418" s="459"/>
      <c r="AW418" s="459"/>
      <c r="AX418" s="459"/>
      <c r="AY418" s="11"/>
      <c r="AZ418" s="459"/>
      <c r="BA418" s="459"/>
      <c r="BB418" s="11"/>
      <c r="BC418" s="11"/>
      <c r="BD418" s="11"/>
      <c r="BE418" s="11"/>
      <c r="BF418" s="11"/>
      <c r="BG418" s="11"/>
      <c r="BH418" s="11"/>
      <c r="BI418" s="459"/>
      <c r="BJ418" s="459"/>
      <c r="BK418" s="459"/>
      <c r="BL418" s="459"/>
      <c r="BM418" s="459"/>
      <c r="BN418" s="459"/>
      <c r="BO418" s="459"/>
      <c r="BP418" s="459"/>
      <c r="BQ418" s="459"/>
      <c r="BR418" s="459"/>
      <c r="BS418" s="459"/>
      <c r="BT418" s="459"/>
      <c r="BU418" s="459"/>
      <c r="BV418" s="11"/>
      <c r="BW418" s="11"/>
      <c r="BX418" s="11"/>
      <c r="BY418" s="11"/>
      <c r="BZ418" s="11"/>
      <c r="CA418" s="11"/>
      <c r="CB418" s="11"/>
      <c r="CC418" s="11"/>
      <c r="CD418" s="11"/>
      <c r="CE418" s="459"/>
      <c r="CF418" s="459"/>
      <c r="CG418" s="11"/>
      <c r="CH418" s="11"/>
      <c r="CI418" s="11"/>
      <c r="CJ418" s="11"/>
      <c r="CK418" s="459"/>
      <c r="CL418" s="459"/>
      <c r="CM418" s="459"/>
      <c r="CN418" s="459"/>
      <c r="CO418" s="459"/>
      <c r="CP418" s="459"/>
      <c r="CQ418" s="11"/>
      <c r="CR418" s="11"/>
      <c r="CS418" s="11"/>
      <c r="CT418" s="11"/>
      <c r="CU418" s="11"/>
      <c r="CV418" s="11"/>
      <c r="CW418" s="11"/>
      <c r="CX418" s="11"/>
      <c r="CY418" s="11"/>
      <c r="CZ418" s="11"/>
      <c r="DA418" s="11"/>
      <c r="DB418" s="11"/>
      <c r="DC418" s="11"/>
      <c r="DD418" s="11"/>
      <c r="DE418" s="11"/>
      <c r="DF418" s="11"/>
      <c r="DG418" s="11"/>
      <c r="DH418" s="11"/>
      <c r="DI418" s="11"/>
      <c r="DJ418" s="11"/>
      <c r="DK418" s="11"/>
      <c r="DL418" s="11"/>
      <c r="DM418" s="11"/>
      <c r="DN418" s="11"/>
      <c r="DO418" s="11"/>
      <c r="DP418" s="11"/>
      <c r="DQ418" s="11"/>
      <c r="DR418" s="11"/>
      <c r="DS418" s="11"/>
      <c r="DT418" s="11"/>
      <c r="DU418" s="11"/>
      <c r="DV418" s="11"/>
      <c r="DW418" s="11"/>
      <c r="DX418" s="11"/>
      <c r="DY418" s="11"/>
      <c r="DZ418" s="11"/>
      <c r="EA418" s="11"/>
      <c r="EB418" s="11"/>
      <c r="EC418" s="11"/>
      <c r="ED418" s="11"/>
      <c r="EE418" s="11"/>
      <c r="EF418" s="11"/>
      <c r="EG418" s="11"/>
      <c r="EH418" s="11"/>
      <c r="EI418" s="11"/>
      <c r="EJ418" s="11"/>
      <c r="EK418" s="11"/>
      <c r="EL418" s="11"/>
      <c r="EM418" s="11"/>
      <c r="EN418" s="11"/>
      <c r="EO418" s="11"/>
      <c r="EP418" s="11"/>
      <c r="EQ418" s="11"/>
      <c r="ER418" s="11"/>
      <c r="ES418" s="11"/>
      <c r="ET418" s="11"/>
      <c r="EU418" s="11"/>
      <c r="EV418" s="11"/>
      <c r="EW418" s="11"/>
      <c r="EX418" s="11"/>
      <c r="EY418" s="11"/>
      <c r="EZ418" s="11"/>
      <c r="FA418" s="11"/>
      <c r="FB418" s="11"/>
      <c r="FC418" s="11"/>
      <c r="FD418" s="11"/>
      <c r="FE418" s="11"/>
      <c r="FF418" s="11"/>
      <c r="FG418" s="11"/>
      <c r="FH418" s="11"/>
      <c r="FI418" s="11"/>
      <c r="FJ418" s="11"/>
      <c r="FK418" s="11"/>
      <c r="FL418" s="11"/>
      <c r="FM418" s="11"/>
      <c r="FN418" s="11"/>
      <c r="FO418" s="11"/>
      <c r="FP418" s="11"/>
      <c r="FQ418" s="11"/>
      <c r="FR418" s="11"/>
      <c r="FS418" s="11"/>
      <c r="FT418" s="11"/>
      <c r="FU418" s="11"/>
      <c r="FV418" s="11"/>
      <c r="FW418" s="11"/>
      <c r="FX418" s="11"/>
      <c r="FY418" s="11"/>
      <c r="FZ418" s="11"/>
      <c r="GA418" s="11"/>
      <c r="GB418" s="11"/>
      <c r="GC418" s="11"/>
      <c r="GD418" s="11"/>
      <c r="GE418" s="11"/>
      <c r="GF418" s="11"/>
      <c r="GG418" s="11"/>
      <c r="GH418" s="11"/>
      <c r="GI418" s="11"/>
      <c r="GJ418" s="11"/>
      <c r="GK418" s="11"/>
      <c r="GL418" s="11"/>
      <c r="GM418" s="11"/>
      <c r="GN418" s="11"/>
      <c r="GO418" s="11"/>
      <c r="GP418" s="11"/>
      <c r="GQ418" s="11"/>
      <c r="GR418" s="11"/>
      <c r="GS418" s="11"/>
      <c r="GT418" s="11"/>
      <c r="GU418" s="11"/>
      <c r="GV418" s="11"/>
      <c r="GW418" s="11"/>
      <c r="GX418" s="11"/>
      <c r="GY418" s="11"/>
      <c r="GZ418" s="11"/>
      <c r="HA418" s="11"/>
      <c r="HB418" s="11"/>
      <c r="HC418" s="11"/>
      <c r="HD418" s="11"/>
      <c r="HE418" s="11"/>
      <c r="HF418" s="11"/>
      <c r="HG418" s="11"/>
      <c r="HH418" s="11"/>
      <c r="HI418" s="11"/>
      <c r="HJ418" s="11"/>
      <c r="HK418" s="11"/>
      <c r="HL418" s="11"/>
      <c r="HM418" s="11"/>
      <c r="HN418" s="11"/>
      <c r="HO418" s="11"/>
      <c r="HP418" s="11"/>
      <c r="HQ418" s="11"/>
      <c r="HR418" s="11"/>
      <c r="HS418" s="11"/>
      <c r="HT418" s="11"/>
      <c r="HU418" s="11"/>
      <c r="HV418" s="11"/>
      <c r="HW418" s="11"/>
      <c r="HX418" s="11"/>
      <c r="HY418" s="11"/>
      <c r="HZ418" s="11"/>
      <c r="IA418" s="11"/>
      <c r="IB418" s="11"/>
      <c r="IC418" s="11"/>
      <c r="ID418" s="11"/>
      <c r="IE418" s="10"/>
      <c r="IF418" s="11"/>
      <c r="IG418" s="11"/>
      <c r="IH418" s="11"/>
    </row>
    <row r="419" spans="1:249" s="12" customFormat="1" ht="18.75" customHeight="1" x14ac:dyDescent="0.25">
      <c r="A419" s="471"/>
      <c r="B419" s="472"/>
      <c r="C419" s="444"/>
      <c r="D419" s="459"/>
      <c r="E419" s="11"/>
      <c r="F419" s="11"/>
      <c r="G419" s="459"/>
      <c r="H419" s="11"/>
      <c r="I419" s="11"/>
      <c r="J419" s="459"/>
      <c r="K419" s="11"/>
      <c r="L419" s="11"/>
      <c r="M419" s="459"/>
      <c r="N419" s="459"/>
      <c r="O419" s="459"/>
      <c r="P419" s="459"/>
      <c r="Q419" s="459"/>
      <c r="R419" s="459"/>
      <c r="S419" s="459"/>
      <c r="T419" s="459"/>
      <c r="U419" s="459"/>
      <c r="V419" s="11"/>
      <c r="W419" s="459"/>
      <c r="X419" s="459"/>
      <c r="Y419" s="11"/>
      <c r="Z419" s="11"/>
      <c r="AA419" s="11"/>
      <c r="AB419" s="11"/>
      <c r="AC419" s="459"/>
      <c r="AD419" s="459"/>
      <c r="AE419" s="11"/>
      <c r="AF419" s="11"/>
      <c r="AG419" s="11"/>
      <c r="AH419" s="11"/>
      <c r="AI419" s="11"/>
      <c r="AJ419" s="11"/>
      <c r="AK419" s="459"/>
      <c r="AL419" s="459"/>
      <c r="AM419" s="11"/>
      <c r="AN419" s="11"/>
      <c r="AO419" s="11"/>
      <c r="AP419" s="11"/>
      <c r="AQ419" s="11"/>
      <c r="AR419" s="11"/>
      <c r="AS419" s="11"/>
      <c r="AT419" s="11"/>
      <c r="AU419" s="11"/>
      <c r="AV419" s="459"/>
      <c r="AW419" s="459"/>
      <c r="AX419" s="459"/>
      <c r="AY419" s="11"/>
      <c r="AZ419" s="459"/>
      <c r="BA419" s="459"/>
      <c r="BB419" s="11"/>
      <c r="BC419" s="11"/>
      <c r="BD419" s="11"/>
      <c r="BE419" s="11"/>
      <c r="BF419" s="11"/>
      <c r="BG419" s="11"/>
      <c r="BH419" s="11"/>
      <c r="BI419" s="459"/>
      <c r="BJ419" s="459"/>
      <c r="BK419" s="459"/>
      <c r="BL419" s="459"/>
      <c r="BM419" s="459"/>
      <c r="BN419" s="459"/>
      <c r="BO419" s="459"/>
      <c r="BP419" s="459"/>
      <c r="BQ419" s="459"/>
      <c r="BR419" s="459"/>
      <c r="BS419" s="459"/>
      <c r="BT419" s="459"/>
      <c r="BU419" s="459"/>
      <c r="BV419" s="11"/>
      <c r="BW419" s="11"/>
      <c r="BX419" s="11"/>
      <c r="BY419" s="11"/>
      <c r="BZ419" s="11"/>
      <c r="CA419" s="11"/>
      <c r="CB419" s="11"/>
      <c r="CC419" s="11"/>
      <c r="CD419" s="11"/>
      <c r="CE419" s="459"/>
      <c r="CF419" s="459"/>
      <c r="CG419" s="11"/>
      <c r="CH419" s="11"/>
      <c r="CI419" s="11"/>
      <c r="CJ419" s="11"/>
      <c r="CK419" s="459"/>
      <c r="CL419" s="459"/>
      <c r="CM419" s="459"/>
      <c r="CN419" s="459"/>
      <c r="CO419" s="459"/>
      <c r="CP419" s="459"/>
      <c r="CQ419" s="11"/>
      <c r="CR419" s="11"/>
      <c r="CS419" s="11"/>
      <c r="CT419" s="11"/>
      <c r="CU419" s="11"/>
      <c r="CV419" s="11"/>
      <c r="CW419" s="11"/>
      <c r="CX419" s="11"/>
      <c r="CY419" s="11"/>
      <c r="CZ419" s="11"/>
      <c r="DA419" s="11"/>
      <c r="DB419" s="11"/>
      <c r="DC419" s="11"/>
      <c r="DD419" s="11"/>
      <c r="DE419" s="11"/>
      <c r="DF419" s="11"/>
      <c r="DG419" s="11"/>
      <c r="DH419" s="11"/>
      <c r="DI419" s="11"/>
      <c r="DJ419" s="11"/>
      <c r="DK419" s="11"/>
      <c r="DL419" s="11"/>
      <c r="DM419" s="11"/>
      <c r="DN419" s="11"/>
      <c r="DO419" s="11"/>
      <c r="DP419" s="11"/>
      <c r="DQ419" s="11"/>
      <c r="DR419" s="11"/>
      <c r="DS419" s="11"/>
      <c r="DT419" s="11"/>
      <c r="DU419" s="11"/>
      <c r="DV419" s="11"/>
      <c r="DW419" s="11"/>
      <c r="DX419" s="11"/>
      <c r="DY419" s="11"/>
      <c r="DZ419" s="11"/>
      <c r="EA419" s="11"/>
      <c r="EB419" s="11"/>
      <c r="EC419" s="11"/>
      <c r="ED419" s="11"/>
      <c r="EE419" s="11"/>
      <c r="EF419" s="11"/>
      <c r="EG419" s="11"/>
      <c r="EH419" s="11"/>
      <c r="EI419" s="11"/>
      <c r="EJ419" s="11"/>
      <c r="EK419" s="11"/>
      <c r="EL419" s="11"/>
      <c r="EM419" s="11"/>
      <c r="EN419" s="11"/>
      <c r="EO419" s="11"/>
      <c r="EP419" s="11"/>
      <c r="EQ419" s="11"/>
      <c r="ER419" s="11"/>
      <c r="ES419" s="11"/>
      <c r="ET419" s="11"/>
      <c r="EU419" s="11"/>
      <c r="EV419" s="11"/>
      <c r="EW419" s="11"/>
      <c r="EX419" s="11"/>
      <c r="EY419" s="11"/>
      <c r="EZ419" s="11"/>
      <c r="FA419" s="11"/>
      <c r="FB419" s="11"/>
      <c r="FC419" s="11"/>
      <c r="FD419" s="11"/>
      <c r="FE419" s="11"/>
      <c r="FF419" s="11"/>
      <c r="FG419" s="11"/>
      <c r="FH419" s="11"/>
      <c r="FI419" s="11"/>
      <c r="FJ419" s="11"/>
      <c r="FK419" s="11"/>
      <c r="FL419" s="11"/>
      <c r="FM419" s="11"/>
      <c r="FN419" s="11"/>
      <c r="FO419" s="11"/>
      <c r="FP419" s="11"/>
      <c r="FQ419" s="11"/>
      <c r="FR419" s="11"/>
      <c r="FS419" s="11"/>
      <c r="FT419" s="11"/>
      <c r="FU419" s="11"/>
      <c r="FV419" s="11"/>
      <c r="FW419" s="11"/>
      <c r="FX419" s="11"/>
      <c r="FY419" s="11"/>
      <c r="FZ419" s="11"/>
      <c r="GA419" s="11"/>
      <c r="GB419" s="11"/>
      <c r="GC419" s="11"/>
      <c r="GD419" s="11"/>
      <c r="GE419" s="11"/>
      <c r="GF419" s="11"/>
      <c r="GG419" s="11"/>
      <c r="GH419" s="11"/>
      <c r="GI419" s="11"/>
      <c r="GJ419" s="11"/>
      <c r="GK419" s="11"/>
      <c r="GL419" s="11"/>
      <c r="GM419" s="11"/>
      <c r="GN419" s="11"/>
      <c r="GO419" s="11"/>
      <c r="GP419" s="11"/>
      <c r="GQ419" s="11"/>
      <c r="GR419" s="11"/>
      <c r="GS419" s="11"/>
      <c r="GT419" s="11"/>
      <c r="GU419" s="11"/>
      <c r="GV419" s="11"/>
      <c r="GW419" s="11"/>
      <c r="GX419" s="11"/>
      <c r="GY419" s="11"/>
      <c r="GZ419" s="11"/>
      <c r="HA419" s="11"/>
      <c r="HB419" s="11"/>
      <c r="HC419" s="11"/>
      <c r="HD419" s="11"/>
      <c r="HE419" s="11"/>
      <c r="HF419" s="11"/>
      <c r="HG419" s="11"/>
      <c r="HH419" s="11"/>
      <c r="HI419" s="11"/>
      <c r="HJ419" s="11"/>
      <c r="HK419" s="11"/>
      <c r="HL419" s="11"/>
      <c r="HM419" s="11"/>
      <c r="HN419" s="11"/>
      <c r="HO419" s="11"/>
      <c r="HP419" s="11"/>
      <c r="HQ419" s="11"/>
      <c r="HR419" s="11"/>
      <c r="HS419" s="11"/>
      <c r="HT419" s="11"/>
      <c r="HU419" s="11"/>
      <c r="HV419" s="11"/>
      <c r="HW419" s="11"/>
      <c r="HX419" s="11"/>
      <c r="HY419" s="11"/>
      <c r="HZ419" s="11"/>
      <c r="IA419" s="11"/>
      <c r="IB419" s="11"/>
      <c r="IC419" s="11"/>
      <c r="ID419" s="11"/>
      <c r="IE419" s="10"/>
      <c r="IF419" s="11"/>
      <c r="IG419" s="11"/>
      <c r="IH419" s="11"/>
    </row>
    <row r="420" spans="1:249" s="473" customFormat="1" ht="46.5" customHeight="1" x14ac:dyDescent="0.2">
      <c r="B420" s="755"/>
      <c r="C420" s="755"/>
      <c r="D420" s="755"/>
      <c r="E420" s="755"/>
      <c r="F420" s="755"/>
      <c r="G420" s="755"/>
      <c r="H420" s="755"/>
      <c r="I420" s="755"/>
      <c r="J420" s="755"/>
      <c r="K420" s="755"/>
      <c r="L420" s="755"/>
      <c r="M420" s="755"/>
      <c r="N420" s="755"/>
      <c r="O420" s="755"/>
      <c r="P420" s="755"/>
      <c r="Q420" s="755"/>
      <c r="R420" s="755"/>
      <c r="S420" s="755"/>
      <c r="T420" s="755"/>
      <c r="U420" s="755"/>
      <c r="V420" s="755"/>
      <c r="W420" s="755"/>
      <c r="X420" s="755"/>
      <c r="Y420" s="755"/>
      <c r="Z420" s="755"/>
      <c r="AA420" s="755"/>
      <c r="AB420" s="755"/>
      <c r="AC420" s="755"/>
      <c r="AD420" s="755"/>
      <c r="AE420" s="755"/>
      <c r="AF420" s="755"/>
      <c r="AG420" s="755"/>
      <c r="AH420" s="755"/>
      <c r="AI420" s="755"/>
      <c r="AJ420" s="755"/>
      <c r="AK420" s="755"/>
      <c r="AL420" s="755"/>
      <c r="AM420" s="755"/>
      <c r="AN420" s="755"/>
      <c r="AO420" s="755"/>
      <c r="AP420" s="755"/>
      <c r="AQ420" s="755"/>
      <c r="AR420" s="755"/>
      <c r="AS420" s="755"/>
      <c r="AT420" s="755"/>
      <c r="AU420" s="755"/>
      <c r="AV420" s="755"/>
      <c r="AW420" s="755"/>
      <c r="AX420" s="755"/>
      <c r="AY420" s="755"/>
      <c r="AZ420" s="755"/>
      <c r="BA420" s="755"/>
      <c r="BB420" s="755"/>
      <c r="BC420" s="755"/>
      <c r="BD420" s="755"/>
      <c r="BE420" s="755"/>
      <c r="BF420" s="755"/>
      <c r="BG420" s="755"/>
      <c r="BH420" s="755"/>
      <c r="BI420" s="755"/>
      <c r="BJ420" s="755"/>
      <c r="BK420" s="755"/>
      <c r="BL420" s="755"/>
      <c r="BM420" s="755"/>
      <c r="BN420" s="755"/>
      <c r="BO420" s="755"/>
      <c r="BP420" s="755"/>
      <c r="BQ420" s="755"/>
      <c r="BR420" s="755"/>
      <c r="BS420" s="755"/>
      <c r="BT420" s="755"/>
      <c r="BU420" s="755"/>
      <c r="BV420" s="755"/>
      <c r="BW420" s="755"/>
      <c r="BX420" s="755"/>
      <c r="BY420" s="755"/>
      <c r="BZ420" s="755"/>
      <c r="CA420" s="755"/>
      <c r="CB420" s="755"/>
      <c r="CC420" s="755"/>
      <c r="CD420" s="755"/>
      <c r="CE420" s="474"/>
      <c r="CF420" s="474"/>
      <c r="CG420" s="475"/>
      <c r="CH420" s="475"/>
      <c r="CI420" s="474"/>
      <c r="CJ420" s="474"/>
      <c r="CK420" s="475"/>
      <c r="CL420" s="475"/>
      <c r="CM420" s="475"/>
      <c r="CN420" s="475"/>
      <c r="CO420" s="475"/>
      <c r="CP420" s="475"/>
      <c r="CQ420" s="475"/>
      <c r="CR420" s="474"/>
      <c r="CS420" s="474"/>
      <c r="CT420" s="475"/>
      <c r="CU420" s="475"/>
      <c r="CV420" s="475"/>
      <c r="CW420" s="475"/>
      <c r="CX420" s="475"/>
      <c r="CY420" s="475"/>
      <c r="CZ420" s="475"/>
      <c r="DA420" s="474"/>
      <c r="DB420" s="474"/>
      <c r="DC420" s="474"/>
      <c r="DD420" s="474"/>
      <c r="DE420" s="474"/>
      <c r="DF420" s="474"/>
      <c r="DG420" s="474"/>
      <c r="DH420" s="474"/>
      <c r="DI420" s="474"/>
      <c r="DJ420" s="474"/>
      <c r="DK420" s="474"/>
      <c r="DL420" s="474"/>
      <c r="DM420" s="474"/>
      <c r="DN420" s="474"/>
      <c r="DO420" s="474"/>
      <c r="DP420" s="474"/>
      <c r="DQ420" s="474"/>
      <c r="DR420" s="474"/>
      <c r="DS420" s="474"/>
      <c r="DT420" s="474"/>
      <c r="DU420" s="474"/>
      <c r="DV420" s="474"/>
      <c r="DW420" s="474"/>
      <c r="DX420" s="475"/>
      <c r="DY420" s="756"/>
      <c r="DZ420" s="756"/>
      <c r="EA420" s="476"/>
      <c r="EB420" s="476"/>
      <c r="EC420" s="476"/>
      <c r="ED420" s="476"/>
      <c r="EE420" s="476"/>
      <c r="EF420" s="476"/>
      <c r="EG420" s="476"/>
      <c r="EH420" s="476"/>
      <c r="EI420" s="476"/>
      <c r="EJ420" s="476"/>
      <c r="EK420" s="474"/>
      <c r="EL420" s="474"/>
      <c r="EM420" s="474"/>
      <c r="EN420" s="474"/>
      <c r="EO420" s="474"/>
      <c r="EP420" s="474"/>
      <c r="EQ420" s="474"/>
      <c r="ER420" s="474"/>
      <c r="ES420" s="474"/>
      <c r="ET420" s="474"/>
      <c r="EU420" s="474"/>
      <c r="EV420" s="474"/>
      <c r="EW420" s="476"/>
      <c r="EX420" s="476"/>
      <c r="EY420" s="476"/>
      <c r="EZ420" s="476"/>
      <c r="FA420" s="476"/>
      <c r="FB420" s="476"/>
      <c r="FC420" s="476"/>
      <c r="FD420" s="476"/>
      <c r="FE420" s="476"/>
      <c r="FF420" s="476"/>
      <c r="FG420" s="474"/>
      <c r="FH420" s="474"/>
      <c r="FI420" s="474"/>
      <c r="FJ420" s="474"/>
      <c r="FK420" s="474"/>
      <c r="FL420" s="474"/>
      <c r="FM420" s="474"/>
      <c r="FN420" s="474"/>
      <c r="FO420" s="476"/>
      <c r="FP420" s="476"/>
      <c r="FQ420" s="476"/>
      <c r="FR420" s="476"/>
      <c r="FS420" s="476"/>
      <c r="FT420" s="476"/>
      <c r="FU420" s="476"/>
      <c r="FV420" s="476"/>
      <c r="FW420" s="476"/>
      <c r="FX420" s="476"/>
      <c r="FY420" s="476"/>
      <c r="FZ420" s="476"/>
      <c r="GA420" s="476"/>
      <c r="GB420" s="476"/>
      <c r="GC420" s="476"/>
      <c r="GD420" s="476"/>
      <c r="GE420" s="476"/>
      <c r="GF420" s="476"/>
      <c r="GG420" s="476"/>
      <c r="GH420" s="476"/>
      <c r="GI420" s="476"/>
      <c r="GJ420" s="476"/>
      <c r="GK420" s="476"/>
      <c r="GL420" s="476"/>
      <c r="GM420" s="476"/>
      <c r="GN420" s="476"/>
      <c r="GO420" s="476"/>
      <c r="GP420" s="476"/>
      <c r="GQ420" s="476"/>
      <c r="GR420" s="476"/>
      <c r="GS420" s="476"/>
      <c r="GT420" s="476"/>
      <c r="GU420" s="476"/>
      <c r="GV420" s="476"/>
      <c r="GW420" s="476"/>
      <c r="GX420" s="476"/>
      <c r="GY420" s="476"/>
      <c r="GZ420" s="476"/>
      <c r="HA420" s="476"/>
      <c r="HB420" s="476"/>
      <c r="HC420" s="476"/>
      <c r="HD420" s="476"/>
      <c r="HE420" s="476"/>
      <c r="HF420" s="476"/>
      <c r="HG420" s="476"/>
      <c r="HH420" s="476"/>
      <c r="HI420" s="476"/>
      <c r="HJ420" s="476"/>
      <c r="HK420" s="476"/>
      <c r="HL420" s="476"/>
      <c r="HM420" s="476"/>
      <c r="HN420" s="476"/>
      <c r="HO420" s="476"/>
      <c r="HP420" s="476"/>
      <c r="HQ420" s="476"/>
      <c r="HR420" s="476"/>
      <c r="HS420" s="476"/>
      <c r="HT420" s="476"/>
      <c r="HU420" s="476"/>
      <c r="HV420" s="476"/>
      <c r="HW420" s="476"/>
      <c r="HX420" s="476"/>
      <c r="HY420" s="476"/>
      <c r="HZ420" s="476"/>
      <c r="IA420" s="476"/>
      <c r="IB420" s="476"/>
      <c r="IC420" s="476"/>
      <c r="ID420" s="476"/>
      <c r="IE420" s="477"/>
      <c r="IF420" s="475"/>
      <c r="IG420" s="475"/>
      <c r="IH420" s="475"/>
    </row>
    <row r="421" spans="1:249" ht="15" customHeight="1" x14ac:dyDescent="0.25">
      <c r="II421" s="1"/>
      <c r="IJ421" s="1"/>
      <c r="IK421" s="1"/>
      <c r="IL421" s="1"/>
      <c r="IM421" s="1"/>
      <c r="IN421" s="1"/>
      <c r="IO421" s="1"/>
    </row>
    <row r="422" spans="1:249" ht="15" customHeight="1" x14ac:dyDescent="0.25">
      <c r="II422" s="1"/>
      <c r="IJ422" s="1"/>
      <c r="IK422" s="1"/>
      <c r="IL422" s="1"/>
      <c r="IM422" s="1"/>
      <c r="IN422" s="1"/>
      <c r="IO422" s="1"/>
    </row>
    <row r="423" spans="1:249" ht="15" customHeight="1" x14ac:dyDescent="0.25">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row>
    <row r="424" spans="1:249" ht="15" customHeight="1" x14ac:dyDescent="0.25">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row>
    <row r="425" spans="1:249" ht="15" customHeight="1" x14ac:dyDescent="0.25">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row>
    <row r="426" spans="1:249" ht="15" customHeight="1" x14ac:dyDescent="0.25">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row>
    <row r="427" spans="1:249" ht="15" customHeight="1" x14ac:dyDescent="0.25">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row>
    <row r="428" spans="1:249" ht="15" customHeight="1" x14ac:dyDescent="0.25">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row>
    <row r="429" spans="1:249" x14ac:dyDescent="0.25">
      <c r="B429" s="759"/>
      <c r="C429" s="760"/>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row>
    <row r="440" spans="1:249" s="478" customFormat="1" x14ac:dyDescent="0.25">
      <c r="A440" s="1"/>
      <c r="D440" s="4"/>
      <c r="E440" s="5"/>
      <c r="F440" s="5"/>
      <c r="G440" s="5"/>
      <c r="H440" s="5"/>
      <c r="I440" s="5"/>
      <c r="J440" s="5"/>
      <c r="K440" s="5"/>
      <c r="L440" s="5"/>
      <c r="M440" s="5"/>
      <c r="N440" s="6"/>
      <c r="O440" s="6"/>
      <c r="P440" s="6"/>
      <c r="Q440" s="6"/>
      <c r="R440" s="6"/>
      <c r="S440" s="6"/>
      <c r="T440" s="5"/>
      <c r="U440" s="5"/>
      <c r="V440" s="5"/>
      <c r="W440" s="5"/>
      <c r="X440" s="5"/>
      <c r="Y440" s="5"/>
      <c r="Z440" s="5"/>
      <c r="AA440" s="5"/>
      <c r="AB440" s="5"/>
      <c r="AC440" s="6"/>
      <c r="AD440" s="5"/>
      <c r="AE440" s="5"/>
      <c r="AF440" s="6"/>
      <c r="AG440" s="5"/>
      <c r="AH440" s="5"/>
      <c r="AI440" s="6"/>
      <c r="AJ440" s="6"/>
      <c r="AK440" s="6"/>
      <c r="AL440" s="6"/>
      <c r="AM440" s="6"/>
      <c r="AN440" s="6"/>
      <c r="AO440" s="6"/>
      <c r="AP440" s="6"/>
      <c r="AQ440" s="6"/>
      <c r="AR440" s="6"/>
      <c r="AS440" s="5"/>
      <c r="AT440" s="6"/>
      <c r="AU440" s="6"/>
      <c r="AV440" s="5"/>
      <c r="AW440" s="5"/>
      <c r="AX440" s="5"/>
      <c r="AY440" s="5"/>
      <c r="AZ440" s="6"/>
      <c r="BA440" s="6"/>
      <c r="BB440" s="5"/>
      <c r="BC440" s="5"/>
      <c r="BD440" s="5"/>
      <c r="BE440" s="5"/>
      <c r="BF440" s="5"/>
      <c r="BG440" s="5"/>
      <c r="BH440" s="5"/>
      <c r="BI440" s="6"/>
      <c r="BJ440" s="6"/>
      <c r="BK440" s="6"/>
      <c r="BL440" s="6"/>
      <c r="BM440" s="6"/>
      <c r="BN440" s="6"/>
      <c r="BO440" s="6"/>
      <c r="BP440" s="6"/>
      <c r="BQ440" s="6"/>
      <c r="BR440" s="6"/>
      <c r="BS440" s="6"/>
      <c r="BT440" s="6"/>
      <c r="BU440" s="6"/>
      <c r="BV440" s="5"/>
      <c r="BW440" s="5"/>
      <c r="BX440" s="5"/>
      <c r="BY440" s="5"/>
      <c r="BZ440" s="5"/>
      <c r="CA440" s="5"/>
      <c r="CB440" s="5"/>
      <c r="CC440" s="5"/>
      <c r="CD440" s="5"/>
      <c r="CE440" s="6"/>
      <c r="CF440" s="6"/>
      <c r="CG440" s="5"/>
      <c r="CH440" s="5"/>
      <c r="CI440" s="6"/>
      <c r="CJ440" s="6"/>
      <c r="CK440" s="5"/>
      <c r="CL440" s="5"/>
      <c r="CM440" s="5"/>
      <c r="CN440" s="5"/>
      <c r="CO440" s="5"/>
      <c r="CP440" s="5"/>
      <c r="CQ440" s="5"/>
      <c r="CR440" s="6"/>
      <c r="CS440" s="6"/>
      <c r="CT440" s="5"/>
      <c r="CU440" s="5"/>
      <c r="CV440" s="5"/>
      <c r="CW440" s="5"/>
      <c r="CX440" s="5"/>
      <c r="CY440" s="5"/>
      <c r="CZ440" s="5"/>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5"/>
      <c r="DY440" s="6"/>
      <c r="DZ440" s="6"/>
      <c r="EA440" s="6"/>
      <c r="EB440" s="6"/>
      <c r="EC440" s="6"/>
      <c r="ED440" s="6"/>
      <c r="EE440" s="6"/>
      <c r="EF440" s="6"/>
      <c r="EG440" s="6"/>
      <c r="EH440" s="6"/>
      <c r="EI440" s="6"/>
      <c r="EJ440" s="459"/>
      <c r="EK440" s="6"/>
      <c r="EL440" s="6"/>
      <c r="EM440" s="6"/>
      <c r="EN440" s="6"/>
      <c r="EO440" s="6"/>
      <c r="EP440" s="6"/>
      <c r="EQ440" s="6"/>
      <c r="ER440" s="6"/>
      <c r="ES440" s="6"/>
      <c r="ET440" s="6"/>
      <c r="EU440" s="6"/>
      <c r="EV440" s="6"/>
      <c r="EW440" s="6"/>
      <c r="EX440" s="6"/>
      <c r="EY440" s="6"/>
      <c r="EZ440" s="6"/>
      <c r="FA440" s="6"/>
      <c r="FB440" s="6"/>
      <c r="FC440" s="6"/>
      <c r="FD440" s="6"/>
      <c r="FE440" s="6"/>
      <c r="FF440" s="6"/>
      <c r="FG440" s="6"/>
      <c r="FH440" s="6"/>
      <c r="FI440" s="6"/>
      <c r="FJ440" s="6"/>
      <c r="FK440" s="6"/>
      <c r="FL440" s="6"/>
      <c r="FM440" s="6"/>
      <c r="FN440" s="6"/>
      <c r="FO440" s="6"/>
      <c r="FP440" s="6"/>
      <c r="FQ440" s="6"/>
      <c r="FR440" s="6"/>
      <c r="FS440" s="6"/>
      <c r="FT440" s="6"/>
      <c r="FU440" s="6"/>
      <c r="FV440" s="6"/>
      <c r="FW440" s="6"/>
      <c r="FX440" s="6"/>
      <c r="FY440" s="6"/>
      <c r="FZ440" s="6"/>
      <c r="GA440" s="6"/>
      <c r="GB440" s="6"/>
      <c r="GC440" s="6"/>
      <c r="GD440" s="6"/>
      <c r="GE440" s="6"/>
      <c r="GF440" s="6"/>
      <c r="GG440" s="6"/>
      <c r="GH440" s="6"/>
      <c r="GI440" s="6"/>
      <c r="GJ440" s="6"/>
      <c r="GK440" s="6"/>
      <c r="GL440" s="6"/>
      <c r="GM440" s="6"/>
      <c r="GN440" s="6"/>
      <c r="GO440" s="6"/>
      <c r="GP440" s="6"/>
      <c r="GQ440" s="6"/>
      <c r="GR440" s="6"/>
      <c r="GS440" s="6"/>
      <c r="GT440" s="6"/>
      <c r="GU440" s="6"/>
      <c r="GV440" s="6"/>
      <c r="GW440" s="6"/>
      <c r="GX440" s="6"/>
      <c r="GY440" s="6"/>
      <c r="GZ440" s="6"/>
      <c r="HA440" s="6"/>
      <c r="HB440" s="6"/>
      <c r="HC440" s="6"/>
      <c r="HD440" s="6"/>
      <c r="HE440" s="6"/>
      <c r="HF440" s="6"/>
      <c r="HG440" s="6"/>
      <c r="HH440" s="6"/>
      <c r="HI440" s="6"/>
      <c r="HJ440" s="6"/>
      <c r="HK440" s="6"/>
      <c r="HL440" s="6"/>
      <c r="HM440" s="6"/>
      <c r="HN440" s="6"/>
      <c r="HO440" s="6"/>
      <c r="HP440" s="6"/>
      <c r="HQ440" s="6"/>
      <c r="HR440" s="6"/>
      <c r="HS440" s="6"/>
      <c r="HT440" s="6"/>
      <c r="HU440" s="6"/>
      <c r="HV440" s="6"/>
      <c r="HW440" s="6"/>
      <c r="HX440" s="6"/>
      <c r="HY440" s="6"/>
      <c r="HZ440" s="6"/>
      <c r="IA440" s="6"/>
      <c r="IB440" s="6"/>
      <c r="IC440" s="6"/>
      <c r="ID440" s="6"/>
      <c r="IE440" s="10"/>
      <c r="IF440" s="11"/>
      <c r="IG440" s="11"/>
      <c r="IH440" s="11"/>
      <c r="II440" s="12"/>
      <c r="IJ440" s="12"/>
      <c r="IK440" s="443"/>
      <c r="IL440" s="443"/>
      <c r="IM440" s="443"/>
      <c r="IN440" s="443"/>
      <c r="IO440" s="443"/>
    </row>
  </sheetData>
  <mergeCells count="207">
    <mergeCell ref="C50:D50"/>
    <mergeCell ref="AM263:AM267"/>
    <mergeCell ref="AN263:AN267"/>
    <mergeCell ref="B285:C285"/>
    <mergeCell ref="B288:C288"/>
    <mergeCell ref="B289:IE289"/>
    <mergeCell ref="C354:D354"/>
    <mergeCell ref="C210:D210"/>
    <mergeCell ref="C358:D358"/>
    <mergeCell ref="AM51:AM54"/>
    <mergeCell ref="AM59:AM64"/>
    <mergeCell ref="AM65:AM68"/>
    <mergeCell ref="AM88:AM90"/>
    <mergeCell ref="AM110:AM112"/>
    <mergeCell ref="AM113:AM115"/>
    <mergeCell ref="C58:D58"/>
    <mergeCell ref="C108:D108"/>
    <mergeCell ref="B420:CD420"/>
    <mergeCell ref="DY420:DZ420"/>
    <mergeCell ref="C213:D213"/>
    <mergeCell ref="AM224:AM227"/>
    <mergeCell ref="AM228:AM230"/>
    <mergeCell ref="AM236:AM242"/>
    <mergeCell ref="AM244:AM248"/>
    <mergeCell ref="AM253:AM254"/>
    <mergeCell ref="B429:C429"/>
    <mergeCell ref="B396:C396"/>
    <mergeCell ref="B397:C397"/>
    <mergeCell ref="C400:EI400"/>
    <mergeCell ref="B355:C355"/>
    <mergeCell ref="B359:C359"/>
    <mergeCell ref="B360:IE360"/>
    <mergeCell ref="AM361:AM364"/>
    <mergeCell ref="AN361:AN364"/>
    <mergeCell ref="IE371:IE376"/>
    <mergeCell ref="ES400:FQ400"/>
    <mergeCell ref="B417:CW417"/>
    <mergeCell ref="DA417:DB417"/>
    <mergeCell ref="DC417:FC417"/>
    <mergeCell ref="B384:HR384"/>
    <mergeCell ref="B386:IE386"/>
    <mergeCell ref="C391:D391"/>
    <mergeCell ref="B392:C392"/>
    <mergeCell ref="B394:C394"/>
    <mergeCell ref="B395:C395"/>
    <mergeCell ref="AM116:AM118"/>
    <mergeCell ref="IE160:IE161"/>
    <mergeCell ref="AM176:AM179"/>
    <mergeCell ref="B207:C207"/>
    <mergeCell ref="B211:C211"/>
    <mergeCell ref="B212:IE212"/>
    <mergeCell ref="C128:D128"/>
    <mergeCell ref="B24:IE24"/>
    <mergeCell ref="B25:C25"/>
    <mergeCell ref="B29:C29"/>
    <mergeCell ref="B30:IE30"/>
    <mergeCell ref="AM40:AM42"/>
    <mergeCell ref="AM44:AM47"/>
    <mergeCell ref="C49:D49"/>
    <mergeCell ref="C34:D34"/>
    <mergeCell ref="C28:D28"/>
    <mergeCell ref="C38:D38"/>
    <mergeCell ref="B18:C18"/>
    <mergeCell ref="B19:C19"/>
    <mergeCell ref="B20:C20"/>
    <mergeCell ref="B21:C21"/>
    <mergeCell ref="B22:C22"/>
    <mergeCell ref="B23:C23"/>
    <mergeCell ref="B12:C12"/>
    <mergeCell ref="B14:C14"/>
    <mergeCell ref="B15:C15"/>
    <mergeCell ref="B16:C16"/>
    <mergeCell ref="B17:C17"/>
    <mergeCell ref="B13:C13"/>
    <mergeCell ref="IB5:ID5"/>
    <mergeCell ref="IE5:IE6"/>
    <mergeCell ref="B8:C8"/>
    <mergeCell ref="B9:C9"/>
    <mergeCell ref="B10:C10"/>
    <mergeCell ref="B11:C11"/>
    <mergeCell ref="HP5:HR5"/>
    <mergeCell ref="HS5:HS6"/>
    <mergeCell ref="HT5:HV5"/>
    <mergeCell ref="HW5:HW6"/>
    <mergeCell ref="HX5:HZ5"/>
    <mergeCell ref="IA5:IA6"/>
    <mergeCell ref="GV5:GX5"/>
    <mergeCell ref="HG5:HG6"/>
    <mergeCell ref="HH5:HJ5"/>
    <mergeCell ref="HK5:HK6"/>
    <mergeCell ref="HL5:HN5"/>
    <mergeCell ref="HO5:HO6"/>
    <mergeCell ref="FH5:FJ5"/>
    <mergeCell ref="FK5:FK6"/>
    <mergeCell ref="FL5:FN5"/>
    <mergeCell ref="FO5:FO6"/>
    <mergeCell ref="FP5:FR5"/>
    <mergeCell ref="GU5:GU6"/>
    <mergeCell ref="EX5:EY5"/>
    <mergeCell ref="EZ5:EZ6"/>
    <mergeCell ref="FA5:FB5"/>
    <mergeCell ref="FC5:FC6"/>
    <mergeCell ref="FD5:FF5"/>
    <mergeCell ref="FG5:FG6"/>
    <mergeCell ref="EL5:EN5"/>
    <mergeCell ref="EO5:EO6"/>
    <mergeCell ref="EP5:ER5"/>
    <mergeCell ref="ES5:ES6"/>
    <mergeCell ref="ET5:EV5"/>
    <mergeCell ref="EW5:EW6"/>
    <mergeCell ref="EB5:EC5"/>
    <mergeCell ref="ED5:ED6"/>
    <mergeCell ref="EE5:EF5"/>
    <mergeCell ref="EG5:EG6"/>
    <mergeCell ref="EH5:EJ5"/>
    <mergeCell ref="EK5:EK6"/>
    <mergeCell ref="DS5:DT5"/>
    <mergeCell ref="DU5:DU6"/>
    <mergeCell ref="DV5:DW5"/>
    <mergeCell ref="DX5:DX6"/>
    <mergeCell ref="DY5:DZ5"/>
    <mergeCell ref="EA5:EA6"/>
    <mergeCell ref="DJ5:DK5"/>
    <mergeCell ref="DL5:DL6"/>
    <mergeCell ref="DM5:DN5"/>
    <mergeCell ref="DO5:DO6"/>
    <mergeCell ref="DP5:DQ5"/>
    <mergeCell ref="DR5:DR6"/>
    <mergeCell ref="DA5:DB5"/>
    <mergeCell ref="DC5:DC6"/>
    <mergeCell ref="DD5:DE5"/>
    <mergeCell ref="DF5:DF6"/>
    <mergeCell ref="DG5:DH5"/>
    <mergeCell ref="DI5:DI6"/>
    <mergeCell ref="CR5:CS5"/>
    <mergeCell ref="CT5:CT6"/>
    <mergeCell ref="CU5:CV5"/>
    <mergeCell ref="CW5:CW6"/>
    <mergeCell ref="CX5:CY5"/>
    <mergeCell ref="CZ5:CZ6"/>
    <mergeCell ref="CI5:CJ5"/>
    <mergeCell ref="CK5:CK6"/>
    <mergeCell ref="CL5:CM5"/>
    <mergeCell ref="CN5:CN6"/>
    <mergeCell ref="CO5:CP5"/>
    <mergeCell ref="CQ5:CQ6"/>
    <mergeCell ref="Z5:Z6"/>
    <mergeCell ref="AA5:AB5"/>
    <mergeCell ref="AC5:AC6"/>
    <mergeCell ref="AD5:AE5"/>
    <mergeCell ref="AF5:AF6"/>
    <mergeCell ref="AG5:AH5"/>
    <mergeCell ref="BH5:BH6"/>
    <mergeCell ref="BI5:BJ5"/>
    <mergeCell ref="BK5:BL5"/>
    <mergeCell ref="AZ5:BA5"/>
    <mergeCell ref="BB5:BB6"/>
    <mergeCell ref="BE5:BE6"/>
    <mergeCell ref="BF5:BG5"/>
    <mergeCell ref="GC5:GH5"/>
    <mergeCell ref="GI5:GI6"/>
    <mergeCell ref="AP5:AP6"/>
    <mergeCell ref="AQ5:AQ6"/>
    <mergeCell ref="AR5:AR6"/>
    <mergeCell ref="AS5:AS6"/>
    <mergeCell ref="AT5:AU5"/>
    <mergeCell ref="AV5:AV6"/>
    <mergeCell ref="AN5:AN6"/>
    <mergeCell ref="BM5:BM6"/>
    <mergeCell ref="BN5:BO5"/>
    <mergeCell ref="BP5:BP6"/>
    <mergeCell ref="BZ5:CA5"/>
    <mergeCell ref="CB5:CB6"/>
    <mergeCell ref="CC5:CD5"/>
    <mergeCell ref="CE5:CF5"/>
    <mergeCell ref="CG5:CG6"/>
    <mergeCell ref="CH5:CH6"/>
    <mergeCell ref="BQ5:BR5"/>
    <mergeCell ref="BS5:BS6"/>
    <mergeCell ref="BT5:BU5"/>
    <mergeCell ref="BV5:BV6"/>
    <mergeCell ref="BW5:BX5"/>
    <mergeCell ref="BY5:BY6"/>
    <mergeCell ref="GJ5:GJ6"/>
    <mergeCell ref="B4:IE4"/>
    <mergeCell ref="B5:B6"/>
    <mergeCell ref="C5:C6"/>
    <mergeCell ref="E5:E6"/>
    <mergeCell ref="H5:H6"/>
    <mergeCell ref="K5:K6"/>
    <mergeCell ref="N5:N6"/>
    <mergeCell ref="Q5:Q6"/>
    <mergeCell ref="T5:T6"/>
    <mergeCell ref="W5:W6"/>
    <mergeCell ref="GK5:GP5"/>
    <mergeCell ref="AI5:AI6"/>
    <mergeCell ref="AJ5:AJ6"/>
    <mergeCell ref="AK5:AK6"/>
    <mergeCell ref="AL5:AL6"/>
    <mergeCell ref="AM5:AM6"/>
    <mergeCell ref="AW5:AX5"/>
    <mergeCell ref="AY5:AY6"/>
    <mergeCell ref="FS5:FS6"/>
    <mergeCell ref="FT5:FT6"/>
    <mergeCell ref="FU5:FZ5"/>
    <mergeCell ref="GA5:GA6"/>
    <mergeCell ref="GB5:GB6"/>
  </mergeCells>
  <pageMargins left="0.59055118110236227" right="0.59055118110236227" top="0.19685039370078741" bottom="0.19685039370078741" header="0" footer="0"/>
  <pageSetup paperSize="8" scale="55" fitToHeight="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1.10</vt:lpstr>
      <vt:lpstr>'на 1.10'!Заголовки_для_печати</vt:lpstr>
      <vt:lpstr>'на 1.10'!Область_печати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 Николаевна Мухоморова</dc:creator>
  <cp:lastModifiedBy>Сокол Светлана Анатольевна</cp:lastModifiedBy>
  <cp:lastPrinted>2021-10-06T09:16:11Z</cp:lastPrinted>
  <dcterms:created xsi:type="dcterms:W3CDTF">2021-03-01T07:18:05Z</dcterms:created>
  <dcterms:modified xsi:type="dcterms:W3CDTF">2026-05-14T08:16:06Z</dcterms:modified>
</cp:coreProperties>
</file>